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imaksvytiene\Desktop\MVP_2019_Ataskaitos rengimui_2020_05\"/>
    </mc:Choice>
  </mc:AlternateContent>
  <bookViews>
    <workbookView xWindow="0" yWindow="0" windowWidth="32145" windowHeight="10935"/>
  </bookViews>
  <sheets>
    <sheet name="Planas" sheetId="2" r:id="rId1"/>
  </sheets>
  <definedNames>
    <definedName name="_xlnm.Print_Titles" localSheetId="0">Planas!$4:$6</definedName>
  </definedNames>
  <calcPr calcId="152511"/>
</workbook>
</file>

<file path=xl/calcChain.xml><?xml version="1.0" encoding="utf-8"?>
<calcChain xmlns="http://schemas.openxmlformats.org/spreadsheetml/2006/main">
  <c r="E10" i="2" l="1"/>
  <c r="F10" i="2"/>
  <c r="G10" i="2"/>
  <c r="H10" i="2"/>
  <c r="I10" i="2"/>
  <c r="J10" i="2"/>
  <c r="K10" i="2"/>
  <c r="L10" i="2"/>
  <c r="L9" i="2" s="1"/>
  <c r="L8" i="2" s="1"/>
  <c r="M10" i="2"/>
  <c r="N10" i="2"/>
  <c r="O10" i="2"/>
  <c r="P10" i="2"/>
  <c r="Q10" i="2"/>
  <c r="R10" i="2"/>
  <c r="S10" i="2"/>
  <c r="T10" i="2"/>
  <c r="U10" i="2"/>
  <c r="V10" i="2"/>
  <c r="W10" i="2"/>
  <c r="X10" i="2"/>
  <c r="E12" i="2"/>
  <c r="F12" i="2"/>
  <c r="G12" i="2"/>
  <c r="H12" i="2"/>
  <c r="I12" i="2"/>
  <c r="J12" i="2"/>
  <c r="K12" i="2"/>
  <c r="L12" i="2"/>
  <c r="M12" i="2"/>
  <c r="N12" i="2"/>
  <c r="O12" i="2"/>
  <c r="P12" i="2"/>
  <c r="Q12" i="2"/>
  <c r="R12" i="2"/>
  <c r="S12" i="2"/>
  <c r="T12" i="2"/>
  <c r="U12" i="2"/>
  <c r="V12" i="2"/>
  <c r="W12" i="2"/>
  <c r="X12" i="2"/>
  <c r="E14" i="2"/>
  <c r="F14" i="2"/>
  <c r="G14" i="2"/>
  <c r="H14" i="2"/>
  <c r="I14" i="2"/>
  <c r="J14" i="2"/>
  <c r="K14" i="2"/>
  <c r="L14" i="2"/>
  <c r="M14" i="2"/>
  <c r="N14" i="2"/>
  <c r="O14" i="2"/>
  <c r="P14" i="2"/>
  <c r="Q14" i="2"/>
  <c r="R14" i="2"/>
  <c r="S14" i="2"/>
  <c r="T14" i="2"/>
  <c r="U14" i="2"/>
  <c r="V14" i="2"/>
  <c r="W14" i="2"/>
  <c r="X14" i="2"/>
  <c r="E17" i="2"/>
  <c r="F17" i="2"/>
  <c r="G17" i="2"/>
  <c r="H17" i="2"/>
  <c r="I17" i="2"/>
  <c r="J17" i="2"/>
  <c r="K17" i="2"/>
  <c r="L17" i="2"/>
  <c r="M17" i="2"/>
  <c r="N17" i="2"/>
  <c r="O17" i="2"/>
  <c r="P17" i="2"/>
  <c r="Q17" i="2"/>
  <c r="R17" i="2"/>
  <c r="S17" i="2"/>
  <c r="T17" i="2"/>
  <c r="U17" i="2"/>
  <c r="V17" i="2"/>
  <c r="W17" i="2"/>
  <c r="X17" i="2"/>
  <c r="E19" i="2"/>
  <c r="F19" i="2"/>
  <c r="G19" i="2"/>
  <c r="H19" i="2"/>
  <c r="I19" i="2"/>
  <c r="J19" i="2"/>
  <c r="K19" i="2"/>
  <c r="L19" i="2"/>
  <c r="M19" i="2"/>
  <c r="N19" i="2"/>
  <c r="O19" i="2"/>
  <c r="P19" i="2"/>
  <c r="Q19" i="2"/>
  <c r="R19" i="2"/>
  <c r="S19" i="2"/>
  <c r="T19" i="2"/>
  <c r="U19" i="2"/>
  <c r="V19" i="2"/>
  <c r="W19" i="2"/>
  <c r="X19" i="2"/>
  <c r="E21" i="2"/>
  <c r="F21" i="2"/>
  <c r="G21" i="2"/>
  <c r="H21" i="2"/>
  <c r="I21" i="2"/>
  <c r="J21" i="2"/>
  <c r="K21" i="2"/>
  <c r="L21" i="2"/>
  <c r="M21" i="2"/>
  <c r="N21" i="2"/>
  <c r="O21" i="2"/>
  <c r="P21" i="2"/>
  <c r="Q21" i="2"/>
  <c r="R21" i="2"/>
  <c r="S21" i="2"/>
  <c r="T21" i="2"/>
  <c r="U21" i="2"/>
  <c r="V21" i="2"/>
  <c r="W21" i="2"/>
  <c r="X21" i="2"/>
  <c r="E23" i="2"/>
  <c r="F23" i="2"/>
  <c r="G23" i="2"/>
  <c r="H23" i="2"/>
  <c r="I23" i="2"/>
  <c r="J23" i="2"/>
  <c r="K23" i="2"/>
  <c r="L23" i="2"/>
  <c r="M23" i="2"/>
  <c r="N23" i="2"/>
  <c r="O23" i="2"/>
  <c r="P23" i="2"/>
  <c r="Q23" i="2"/>
  <c r="R23" i="2"/>
  <c r="S23" i="2"/>
  <c r="T23" i="2"/>
  <c r="U23" i="2"/>
  <c r="V23" i="2"/>
  <c r="W23" i="2"/>
  <c r="X23" i="2"/>
  <c r="E28" i="2"/>
  <c r="F28" i="2"/>
  <c r="G28" i="2"/>
  <c r="H28" i="2"/>
  <c r="I28" i="2"/>
  <c r="J28" i="2"/>
  <c r="K28" i="2"/>
  <c r="L28" i="2"/>
  <c r="M28" i="2"/>
  <c r="N28" i="2"/>
  <c r="O28" i="2"/>
  <c r="P28" i="2"/>
  <c r="Q28" i="2"/>
  <c r="R28" i="2"/>
  <c r="S28" i="2"/>
  <c r="T28" i="2"/>
  <c r="U28" i="2"/>
  <c r="V28" i="2"/>
  <c r="W28" i="2"/>
  <c r="X28" i="2"/>
  <c r="E35" i="2"/>
  <c r="E34" i="2" s="1"/>
  <c r="F35" i="2"/>
  <c r="F34" i="2" s="1"/>
  <c r="G35" i="2"/>
  <c r="G34" i="2" s="1"/>
  <c r="H35" i="2"/>
  <c r="H34" i="2" s="1"/>
  <c r="I35" i="2"/>
  <c r="I34" i="2" s="1"/>
  <c r="J35" i="2"/>
  <c r="J34" i="2" s="1"/>
  <c r="K35" i="2"/>
  <c r="K34" i="2" s="1"/>
  <c r="L35" i="2"/>
  <c r="L34" i="2" s="1"/>
  <c r="M35" i="2"/>
  <c r="M34" i="2" s="1"/>
  <c r="N35" i="2"/>
  <c r="N34" i="2" s="1"/>
  <c r="O35" i="2"/>
  <c r="O34" i="2" s="1"/>
  <c r="P35" i="2"/>
  <c r="P34" i="2" s="1"/>
  <c r="Q35" i="2"/>
  <c r="Q34" i="2" s="1"/>
  <c r="R35" i="2"/>
  <c r="R34" i="2" s="1"/>
  <c r="S35" i="2"/>
  <c r="S34" i="2" s="1"/>
  <c r="T35" i="2"/>
  <c r="T34" i="2" s="1"/>
  <c r="U35" i="2"/>
  <c r="U34" i="2" s="1"/>
  <c r="V35" i="2"/>
  <c r="V34" i="2" s="1"/>
  <c r="W35" i="2"/>
  <c r="W34" i="2" s="1"/>
  <c r="X35" i="2"/>
  <c r="X34" i="2" s="1"/>
  <c r="E39" i="2"/>
  <c r="E38" i="2" s="1"/>
  <c r="E37" i="2" s="1"/>
  <c r="F39" i="2"/>
  <c r="F38" i="2" s="1"/>
  <c r="F37" i="2" s="1"/>
  <c r="G39" i="2"/>
  <c r="G38" i="2" s="1"/>
  <c r="G37" i="2" s="1"/>
  <c r="H39" i="2"/>
  <c r="H38" i="2" s="1"/>
  <c r="H37" i="2" s="1"/>
  <c r="I39" i="2"/>
  <c r="I38" i="2" s="1"/>
  <c r="I37" i="2" s="1"/>
  <c r="J39" i="2"/>
  <c r="J38" i="2" s="1"/>
  <c r="J37" i="2" s="1"/>
  <c r="K39" i="2"/>
  <c r="K38" i="2" s="1"/>
  <c r="K37" i="2" s="1"/>
  <c r="L39" i="2"/>
  <c r="L38" i="2" s="1"/>
  <c r="L37" i="2" s="1"/>
  <c r="M39" i="2"/>
  <c r="M38" i="2" s="1"/>
  <c r="M37" i="2" s="1"/>
  <c r="N39" i="2"/>
  <c r="N38" i="2" s="1"/>
  <c r="N37" i="2" s="1"/>
  <c r="O39" i="2"/>
  <c r="O38" i="2" s="1"/>
  <c r="O37" i="2" s="1"/>
  <c r="P39" i="2"/>
  <c r="P38" i="2" s="1"/>
  <c r="P37" i="2" s="1"/>
  <c r="Q39" i="2"/>
  <c r="Q38" i="2" s="1"/>
  <c r="Q37" i="2" s="1"/>
  <c r="R39" i="2"/>
  <c r="R38" i="2" s="1"/>
  <c r="R37" i="2" s="1"/>
  <c r="S39" i="2"/>
  <c r="S38" i="2" s="1"/>
  <c r="S37" i="2" s="1"/>
  <c r="T39" i="2"/>
  <c r="T38" i="2" s="1"/>
  <c r="T37" i="2" s="1"/>
  <c r="U39" i="2"/>
  <c r="U38" i="2" s="1"/>
  <c r="U37" i="2" s="1"/>
  <c r="V39" i="2"/>
  <c r="V38" i="2" s="1"/>
  <c r="V37" i="2" s="1"/>
  <c r="W39" i="2"/>
  <c r="W38" i="2" s="1"/>
  <c r="W37" i="2" s="1"/>
  <c r="X39" i="2"/>
  <c r="X38" i="2" s="1"/>
  <c r="X37" i="2" s="1"/>
  <c r="E43" i="2"/>
  <c r="E42" i="2" s="1"/>
  <c r="E41" i="2" s="1"/>
  <c r="F43" i="2"/>
  <c r="F42" i="2" s="1"/>
  <c r="F41" i="2" s="1"/>
  <c r="G43" i="2"/>
  <c r="G42" i="2" s="1"/>
  <c r="G41" i="2" s="1"/>
  <c r="H43" i="2"/>
  <c r="H42" i="2" s="1"/>
  <c r="H41" i="2" s="1"/>
  <c r="I43" i="2"/>
  <c r="I42" i="2" s="1"/>
  <c r="I41" i="2" s="1"/>
  <c r="J43" i="2"/>
  <c r="J42" i="2" s="1"/>
  <c r="J41" i="2" s="1"/>
  <c r="K43" i="2"/>
  <c r="K42" i="2" s="1"/>
  <c r="K41" i="2" s="1"/>
  <c r="L43" i="2"/>
  <c r="L42" i="2" s="1"/>
  <c r="L41" i="2" s="1"/>
  <c r="M43" i="2"/>
  <c r="M42" i="2" s="1"/>
  <c r="M41" i="2" s="1"/>
  <c r="N43" i="2"/>
  <c r="N42" i="2" s="1"/>
  <c r="N41" i="2" s="1"/>
  <c r="O43" i="2"/>
  <c r="O42" i="2" s="1"/>
  <c r="O41" i="2" s="1"/>
  <c r="P43" i="2"/>
  <c r="P42" i="2" s="1"/>
  <c r="P41" i="2" s="1"/>
  <c r="Q43" i="2"/>
  <c r="Q42" i="2" s="1"/>
  <c r="Q41" i="2" s="1"/>
  <c r="R43" i="2"/>
  <c r="R42" i="2" s="1"/>
  <c r="R41" i="2" s="1"/>
  <c r="S43" i="2"/>
  <c r="S42" i="2" s="1"/>
  <c r="S41" i="2" s="1"/>
  <c r="T43" i="2"/>
  <c r="T42" i="2" s="1"/>
  <c r="T41" i="2" s="1"/>
  <c r="U43" i="2"/>
  <c r="U42" i="2" s="1"/>
  <c r="U41" i="2" s="1"/>
  <c r="V43" i="2"/>
  <c r="V42" i="2" s="1"/>
  <c r="V41" i="2" s="1"/>
  <c r="W43" i="2"/>
  <c r="W42" i="2" s="1"/>
  <c r="W41" i="2" s="1"/>
  <c r="X43" i="2"/>
  <c r="X42" i="2" s="1"/>
  <c r="X41" i="2" s="1"/>
  <c r="E47" i="2"/>
  <c r="F47" i="2"/>
  <c r="G47" i="2"/>
  <c r="H47" i="2"/>
  <c r="I47" i="2"/>
  <c r="J47" i="2"/>
  <c r="K47" i="2"/>
  <c r="L47" i="2"/>
  <c r="M47" i="2"/>
  <c r="N47" i="2"/>
  <c r="O47" i="2"/>
  <c r="P47" i="2"/>
  <c r="Q47" i="2"/>
  <c r="R47" i="2"/>
  <c r="S47" i="2"/>
  <c r="T47" i="2"/>
  <c r="U47" i="2"/>
  <c r="V47" i="2"/>
  <c r="W47" i="2"/>
  <c r="X47" i="2"/>
  <c r="E49" i="2"/>
  <c r="F49" i="2"/>
  <c r="G49" i="2"/>
  <c r="H49" i="2"/>
  <c r="I49" i="2"/>
  <c r="J49" i="2"/>
  <c r="K49" i="2"/>
  <c r="L49" i="2"/>
  <c r="M49" i="2"/>
  <c r="N49" i="2"/>
  <c r="O49" i="2"/>
  <c r="P49" i="2"/>
  <c r="Q49" i="2"/>
  <c r="R49" i="2"/>
  <c r="S49" i="2"/>
  <c r="T49" i="2"/>
  <c r="U49" i="2"/>
  <c r="V49" i="2"/>
  <c r="W49" i="2"/>
  <c r="X49" i="2"/>
  <c r="E53" i="2"/>
  <c r="E52" i="2" s="1"/>
  <c r="E51" i="2" s="1"/>
  <c r="F53" i="2"/>
  <c r="F52" i="2" s="1"/>
  <c r="F51" i="2" s="1"/>
  <c r="G53" i="2"/>
  <c r="G52" i="2" s="1"/>
  <c r="G51" i="2" s="1"/>
  <c r="H53" i="2"/>
  <c r="H52" i="2" s="1"/>
  <c r="H51" i="2" s="1"/>
  <c r="I53" i="2"/>
  <c r="I52" i="2" s="1"/>
  <c r="I51" i="2" s="1"/>
  <c r="J53" i="2"/>
  <c r="J52" i="2" s="1"/>
  <c r="J51" i="2" s="1"/>
  <c r="K53" i="2"/>
  <c r="K52" i="2" s="1"/>
  <c r="K51" i="2" s="1"/>
  <c r="L53" i="2"/>
  <c r="L52" i="2" s="1"/>
  <c r="L51" i="2" s="1"/>
  <c r="M53" i="2"/>
  <c r="M52" i="2" s="1"/>
  <c r="M51" i="2" s="1"/>
  <c r="N53" i="2"/>
  <c r="N52" i="2" s="1"/>
  <c r="N51" i="2" s="1"/>
  <c r="O53" i="2"/>
  <c r="O52" i="2" s="1"/>
  <c r="O51" i="2" s="1"/>
  <c r="P53" i="2"/>
  <c r="P52" i="2" s="1"/>
  <c r="P51" i="2" s="1"/>
  <c r="Q53" i="2"/>
  <c r="Q52" i="2" s="1"/>
  <c r="Q51" i="2" s="1"/>
  <c r="R53" i="2"/>
  <c r="R52" i="2" s="1"/>
  <c r="R51" i="2" s="1"/>
  <c r="S53" i="2"/>
  <c r="S52" i="2" s="1"/>
  <c r="S51" i="2" s="1"/>
  <c r="T53" i="2"/>
  <c r="T52" i="2" s="1"/>
  <c r="T51" i="2" s="1"/>
  <c r="U53" i="2"/>
  <c r="U52" i="2" s="1"/>
  <c r="U51" i="2" s="1"/>
  <c r="V53" i="2"/>
  <c r="V52" i="2" s="1"/>
  <c r="V51" i="2" s="1"/>
  <c r="W53" i="2"/>
  <c r="W52" i="2" s="1"/>
  <c r="W51" i="2" s="1"/>
  <c r="X53" i="2"/>
  <c r="X52" i="2" s="1"/>
  <c r="X51" i="2" s="1"/>
  <c r="E66" i="2"/>
  <c r="F66" i="2"/>
  <c r="G66" i="2"/>
  <c r="H66" i="2"/>
  <c r="I66" i="2"/>
  <c r="J66" i="2"/>
  <c r="K66" i="2"/>
  <c r="L66" i="2"/>
  <c r="M66" i="2"/>
  <c r="N66" i="2"/>
  <c r="O66" i="2"/>
  <c r="P66" i="2"/>
  <c r="Q66" i="2"/>
  <c r="R66" i="2"/>
  <c r="S66" i="2"/>
  <c r="T66" i="2"/>
  <c r="U66" i="2"/>
  <c r="V66" i="2"/>
  <c r="W66" i="2"/>
  <c r="X66" i="2"/>
  <c r="E68" i="2"/>
  <c r="F68" i="2"/>
  <c r="G68" i="2"/>
  <c r="H68" i="2"/>
  <c r="I68" i="2"/>
  <c r="J68" i="2"/>
  <c r="K68" i="2"/>
  <c r="L68" i="2"/>
  <c r="M68" i="2"/>
  <c r="N68" i="2"/>
  <c r="O68" i="2"/>
  <c r="P68" i="2"/>
  <c r="Q68" i="2"/>
  <c r="R68" i="2"/>
  <c r="S68" i="2"/>
  <c r="T68" i="2"/>
  <c r="U68" i="2"/>
  <c r="V68" i="2"/>
  <c r="W68" i="2"/>
  <c r="X68" i="2"/>
  <c r="E70" i="2"/>
  <c r="F70" i="2"/>
  <c r="G70" i="2"/>
  <c r="H70" i="2"/>
  <c r="I70" i="2"/>
  <c r="J70" i="2"/>
  <c r="K70" i="2"/>
  <c r="L70" i="2"/>
  <c r="M70" i="2"/>
  <c r="N70" i="2"/>
  <c r="O70" i="2"/>
  <c r="P70" i="2"/>
  <c r="Q70" i="2"/>
  <c r="R70" i="2"/>
  <c r="S70" i="2"/>
  <c r="T70" i="2"/>
  <c r="U70" i="2"/>
  <c r="V70" i="2"/>
  <c r="W70" i="2"/>
  <c r="X70" i="2"/>
  <c r="E72" i="2"/>
  <c r="F72" i="2"/>
  <c r="G72" i="2"/>
  <c r="H72" i="2"/>
  <c r="I72" i="2"/>
  <c r="J72" i="2"/>
  <c r="K72" i="2"/>
  <c r="L72" i="2"/>
  <c r="M72" i="2"/>
  <c r="N72" i="2"/>
  <c r="O72" i="2"/>
  <c r="P72" i="2"/>
  <c r="Q72" i="2"/>
  <c r="R72" i="2"/>
  <c r="S72" i="2"/>
  <c r="T72" i="2"/>
  <c r="U72" i="2"/>
  <c r="V72" i="2"/>
  <c r="W72" i="2"/>
  <c r="X72" i="2"/>
  <c r="E75" i="2"/>
  <c r="F75" i="2"/>
  <c r="G75" i="2"/>
  <c r="H75" i="2"/>
  <c r="I75" i="2"/>
  <c r="J75" i="2"/>
  <c r="K75" i="2"/>
  <c r="L75" i="2"/>
  <c r="M75" i="2"/>
  <c r="N75" i="2"/>
  <c r="O75" i="2"/>
  <c r="P75" i="2"/>
  <c r="Q75" i="2"/>
  <c r="R75" i="2"/>
  <c r="S75" i="2"/>
  <c r="T75" i="2"/>
  <c r="U75" i="2"/>
  <c r="V75" i="2"/>
  <c r="W75" i="2"/>
  <c r="X75" i="2"/>
  <c r="E85" i="2"/>
  <c r="F85" i="2"/>
  <c r="G85" i="2"/>
  <c r="H85" i="2"/>
  <c r="I85" i="2"/>
  <c r="J85" i="2"/>
  <c r="K85" i="2"/>
  <c r="L85" i="2"/>
  <c r="M85" i="2"/>
  <c r="N85" i="2"/>
  <c r="O85" i="2"/>
  <c r="P85" i="2"/>
  <c r="Q85" i="2"/>
  <c r="R85" i="2"/>
  <c r="S85" i="2"/>
  <c r="T85" i="2"/>
  <c r="U85" i="2"/>
  <c r="V85" i="2"/>
  <c r="W85" i="2"/>
  <c r="X85" i="2"/>
  <c r="E88" i="2"/>
  <c r="F88" i="2"/>
  <c r="G88" i="2"/>
  <c r="H88" i="2"/>
  <c r="I88" i="2"/>
  <c r="J88" i="2"/>
  <c r="K88" i="2"/>
  <c r="L88" i="2"/>
  <c r="M88" i="2"/>
  <c r="N88" i="2"/>
  <c r="O88" i="2"/>
  <c r="P88" i="2"/>
  <c r="Q88" i="2"/>
  <c r="R88" i="2"/>
  <c r="S88" i="2"/>
  <c r="T88" i="2"/>
  <c r="U88" i="2"/>
  <c r="V88" i="2"/>
  <c r="W88" i="2"/>
  <c r="X88" i="2"/>
  <c r="E90" i="2"/>
  <c r="F90" i="2"/>
  <c r="G90" i="2"/>
  <c r="H90" i="2"/>
  <c r="I90" i="2"/>
  <c r="J90" i="2"/>
  <c r="K90" i="2"/>
  <c r="L90" i="2"/>
  <c r="M90" i="2"/>
  <c r="N90" i="2"/>
  <c r="O90" i="2"/>
  <c r="P90" i="2"/>
  <c r="Q90" i="2"/>
  <c r="R90" i="2"/>
  <c r="S90" i="2"/>
  <c r="T90" i="2"/>
  <c r="U90" i="2"/>
  <c r="V90" i="2"/>
  <c r="W90" i="2"/>
  <c r="X90" i="2"/>
  <c r="E94" i="2"/>
  <c r="E93" i="2" s="1"/>
  <c r="F94" i="2"/>
  <c r="F93" i="2" s="1"/>
  <c r="G94" i="2"/>
  <c r="G93" i="2" s="1"/>
  <c r="H94" i="2"/>
  <c r="H93" i="2" s="1"/>
  <c r="I94" i="2"/>
  <c r="I93" i="2" s="1"/>
  <c r="J94" i="2"/>
  <c r="J93" i="2" s="1"/>
  <c r="K94" i="2"/>
  <c r="K93" i="2" s="1"/>
  <c r="L94" i="2"/>
  <c r="L93" i="2" s="1"/>
  <c r="M94" i="2"/>
  <c r="M93" i="2" s="1"/>
  <c r="N94" i="2"/>
  <c r="N93" i="2" s="1"/>
  <c r="O94" i="2"/>
  <c r="O93" i="2" s="1"/>
  <c r="P94" i="2"/>
  <c r="P93" i="2" s="1"/>
  <c r="Q94" i="2"/>
  <c r="Q93" i="2" s="1"/>
  <c r="R94" i="2"/>
  <c r="R93" i="2" s="1"/>
  <c r="S94" i="2"/>
  <c r="S93" i="2" s="1"/>
  <c r="T94" i="2"/>
  <c r="T93" i="2" s="1"/>
  <c r="U94" i="2"/>
  <c r="U93" i="2" s="1"/>
  <c r="V94" i="2"/>
  <c r="V93" i="2" s="1"/>
  <c r="W94" i="2"/>
  <c r="W93" i="2" s="1"/>
  <c r="X94" i="2"/>
  <c r="X93" i="2" s="1"/>
  <c r="E97" i="2"/>
  <c r="E96" i="2" s="1"/>
  <c r="F97" i="2"/>
  <c r="F96" i="2" s="1"/>
  <c r="G97" i="2"/>
  <c r="G96" i="2" s="1"/>
  <c r="H97" i="2"/>
  <c r="H96" i="2" s="1"/>
  <c r="I97" i="2"/>
  <c r="I96" i="2" s="1"/>
  <c r="J97" i="2"/>
  <c r="J96" i="2" s="1"/>
  <c r="K97" i="2"/>
  <c r="K96" i="2" s="1"/>
  <c r="L97" i="2"/>
  <c r="L96" i="2" s="1"/>
  <c r="M97" i="2"/>
  <c r="M96" i="2" s="1"/>
  <c r="N97" i="2"/>
  <c r="N96" i="2" s="1"/>
  <c r="O97" i="2"/>
  <c r="O96" i="2" s="1"/>
  <c r="P97" i="2"/>
  <c r="P96" i="2" s="1"/>
  <c r="Q97" i="2"/>
  <c r="Q96" i="2" s="1"/>
  <c r="R97" i="2"/>
  <c r="R96" i="2" s="1"/>
  <c r="R92" i="2" s="1"/>
  <c r="S97" i="2"/>
  <c r="S96" i="2" s="1"/>
  <c r="T97" i="2"/>
  <c r="T96" i="2" s="1"/>
  <c r="U97" i="2"/>
  <c r="U96" i="2" s="1"/>
  <c r="V97" i="2"/>
  <c r="V96" i="2" s="1"/>
  <c r="W97" i="2"/>
  <c r="W96" i="2" s="1"/>
  <c r="X97" i="2"/>
  <c r="X96" i="2" s="1"/>
  <c r="E101" i="2"/>
  <c r="F101" i="2"/>
  <c r="G101" i="2"/>
  <c r="H101" i="2"/>
  <c r="I101" i="2"/>
  <c r="J101" i="2"/>
  <c r="K101" i="2"/>
  <c r="L101" i="2"/>
  <c r="M101" i="2"/>
  <c r="N101" i="2"/>
  <c r="O101" i="2"/>
  <c r="P101" i="2"/>
  <c r="Q101" i="2"/>
  <c r="R101" i="2"/>
  <c r="S101" i="2"/>
  <c r="T101" i="2"/>
  <c r="U101" i="2"/>
  <c r="V101" i="2"/>
  <c r="W101" i="2"/>
  <c r="X101" i="2"/>
  <c r="E110" i="2"/>
  <c r="F110" i="2"/>
  <c r="G110" i="2"/>
  <c r="H110" i="2"/>
  <c r="I110" i="2"/>
  <c r="J110" i="2"/>
  <c r="K110" i="2"/>
  <c r="L110" i="2"/>
  <c r="M110" i="2"/>
  <c r="N110" i="2"/>
  <c r="O110" i="2"/>
  <c r="P110" i="2"/>
  <c r="Q110" i="2"/>
  <c r="R110" i="2"/>
  <c r="S110" i="2"/>
  <c r="T110" i="2"/>
  <c r="U110" i="2"/>
  <c r="V110" i="2"/>
  <c r="W110" i="2"/>
  <c r="X110" i="2"/>
  <c r="E120" i="2"/>
  <c r="E119" i="2" s="1"/>
  <c r="F120" i="2"/>
  <c r="F119" i="2" s="1"/>
  <c r="G120" i="2"/>
  <c r="G119" i="2" s="1"/>
  <c r="H120" i="2"/>
  <c r="H119" i="2" s="1"/>
  <c r="I120" i="2"/>
  <c r="I119" i="2" s="1"/>
  <c r="J120" i="2"/>
  <c r="J119" i="2" s="1"/>
  <c r="K120" i="2"/>
  <c r="K119" i="2" s="1"/>
  <c r="L120" i="2"/>
  <c r="L119" i="2" s="1"/>
  <c r="M120" i="2"/>
  <c r="M119" i="2" s="1"/>
  <c r="N120" i="2"/>
  <c r="N119" i="2" s="1"/>
  <c r="O120" i="2"/>
  <c r="O119" i="2" s="1"/>
  <c r="P120" i="2"/>
  <c r="P119" i="2" s="1"/>
  <c r="Q120" i="2"/>
  <c r="Q119" i="2" s="1"/>
  <c r="R120" i="2"/>
  <c r="R119" i="2" s="1"/>
  <c r="S120" i="2"/>
  <c r="S119" i="2" s="1"/>
  <c r="T120" i="2"/>
  <c r="T119" i="2" s="1"/>
  <c r="U120" i="2"/>
  <c r="U119" i="2" s="1"/>
  <c r="V120" i="2"/>
  <c r="V119" i="2" s="1"/>
  <c r="W120" i="2"/>
  <c r="W119" i="2" s="1"/>
  <c r="X120" i="2"/>
  <c r="X119" i="2" s="1"/>
  <c r="E124" i="2"/>
  <c r="F124" i="2"/>
  <c r="G124" i="2"/>
  <c r="H124" i="2"/>
  <c r="I124" i="2"/>
  <c r="J124" i="2"/>
  <c r="K124" i="2"/>
  <c r="L124" i="2"/>
  <c r="M124" i="2"/>
  <c r="N124" i="2"/>
  <c r="O124" i="2"/>
  <c r="P124" i="2"/>
  <c r="Q124" i="2"/>
  <c r="R124" i="2"/>
  <c r="S124" i="2"/>
  <c r="T124" i="2"/>
  <c r="U124" i="2"/>
  <c r="V124" i="2"/>
  <c r="W124" i="2"/>
  <c r="X124" i="2"/>
  <c r="E129" i="2"/>
  <c r="F129" i="2"/>
  <c r="G129" i="2"/>
  <c r="H129" i="2"/>
  <c r="I129" i="2"/>
  <c r="J129" i="2"/>
  <c r="K129" i="2"/>
  <c r="L129" i="2"/>
  <c r="M129" i="2"/>
  <c r="N129" i="2"/>
  <c r="O129" i="2"/>
  <c r="P129" i="2"/>
  <c r="Q129" i="2"/>
  <c r="R129" i="2"/>
  <c r="S129" i="2"/>
  <c r="T129" i="2"/>
  <c r="U129" i="2"/>
  <c r="V129" i="2"/>
  <c r="W129" i="2"/>
  <c r="X129" i="2"/>
  <c r="E133" i="2"/>
  <c r="F133" i="2"/>
  <c r="G133" i="2"/>
  <c r="H133" i="2"/>
  <c r="I133" i="2"/>
  <c r="J133" i="2"/>
  <c r="K133" i="2"/>
  <c r="L133" i="2"/>
  <c r="M133" i="2"/>
  <c r="N133" i="2"/>
  <c r="O133" i="2"/>
  <c r="P133" i="2"/>
  <c r="Q133" i="2"/>
  <c r="R133" i="2"/>
  <c r="S133" i="2"/>
  <c r="T133" i="2"/>
  <c r="U133" i="2"/>
  <c r="V133" i="2"/>
  <c r="W133" i="2"/>
  <c r="X133" i="2"/>
  <c r="E135" i="2"/>
  <c r="F135" i="2"/>
  <c r="G135" i="2"/>
  <c r="H135" i="2"/>
  <c r="I135" i="2"/>
  <c r="J135" i="2"/>
  <c r="K135" i="2"/>
  <c r="L135" i="2"/>
  <c r="M135" i="2"/>
  <c r="N135" i="2"/>
  <c r="O135" i="2"/>
  <c r="P135" i="2"/>
  <c r="Q135" i="2"/>
  <c r="R135" i="2"/>
  <c r="S135" i="2"/>
  <c r="T135" i="2"/>
  <c r="U135" i="2"/>
  <c r="V135" i="2"/>
  <c r="W135" i="2"/>
  <c r="X135" i="2"/>
  <c r="E137" i="2"/>
  <c r="F137" i="2"/>
  <c r="G137" i="2"/>
  <c r="H137" i="2"/>
  <c r="I137" i="2"/>
  <c r="J137" i="2"/>
  <c r="K137" i="2"/>
  <c r="L137" i="2"/>
  <c r="M137" i="2"/>
  <c r="N137" i="2"/>
  <c r="O137" i="2"/>
  <c r="P137" i="2"/>
  <c r="Q137" i="2"/>
  <c r="R137" i="2"/>
  <c r="S137" i="2"/>
  <c r="T137" i="2"/>
  <c r="U137" i="2"/>
  <c r="V137" i="2"/>
  <c r="W137" i="2"/>
  <c r="X137" i="2"/>
  <c r="E139" i="2"/>
  <c r="F139" i="2"/>
  <c r="G139" i="2"/>
  <c r="H139" i="2"/>
  <c r="I139" i="2"/>
  <c r="J139" i="2"/>
  <c r="K139" i="2"/>
  <c r="L139" i="2"/>
  <c r="M139" i="2"/>
  <c r="N139" i="2"/>
  <c r="O139" i="2"/>
  <c r="P139" i="2"/>
  <c r="Q139" i="2"/>
  <c r="R139" i="2"/>
  <c r="S139" i="2"/>
  <c r="T139" i="2"/>
  <c r="U139" i="2"/>
  <c r="V139" i="2"/>
  <c r="W139" i="2"/>
  <c r="X139" i="2"/>
  <c r="E143" i="2"/>
  <c r="F143" i="2"/>
  <c r="G143" i="2"/>
  <c r="H143" i="2"/>
  <c r="I143" i="2"/>
  <c r="J143" i="2"/>
  <c r="K143" i="2"/>
  <c r="L143" i="2"/>
  <c r="M143" i="2"/>
  <c r="N143" i="2"/>
  <c r="O143" i="2"/>
  <c r="P143" i="2"/>
  <c r="Q143" i="2"/>
  <c r="R143" i="2"/>
  <c r="S143" i="2"/>
  <c r="T143" i="2"/>
  <c r="U143" i="2"/>
  <c r="V143" i="2"/>
  <c r="W143" i="2"/>
  <c r="X143" i="2"/>
  <c r="E145" i="2"/>
  <c r="F145" i="2"/>
  <c r="G145" i="2"/>
  <c r="H145" i="2"/>
  <c r="I145" i="2"/>
  <c r="J145" i="2"/>
  <c r="K145" i="2"/>
  <c r="L145" i="2"/>
  <c r="M145" i="2"/>
  <c r="N145" i="2"/>
  <c r="O145" i="2"/>
  <c r="P145" i="2"/>
  <c r="Q145" i="2"/>
  <c r="R145" i="2"/>
  <c r="S145" i="2"/>
  <c r="T145" i="2"/>
  <c r="U145" i="2"/>
  <c r="V145" i="2"/>
  <c r="W145" i="2"/>
  <c r="X145" i="2"/>
  <c r="E149" i="2"/>
  <c r="F149" i="2"/>
  <c r="G149" i="2"/>
  <c r="H149" i="2"/>
  <c r="I149" i="2"/>
  <c r="J149" i="2"/>
  <c r="K149" i="2"/>
  <c r="L149" i="2"/>
  <c r="M149" i="2"/>
  <c r="N149" i="2"/>
  <c r="O149" i="2"/>
  <c r="P149" i="2"/>
  <c r="Q149" i="2"/>
  <c r="R149" i="2"/>
  <c r="S149" i="2"/>
  <c r="T149" i="2"/>
  <c r="U149" i="2"/>
  <c r="V149" i="2"/>
  <c r="W149" i="2"/>
  <c r="X149" i="2"/>
  <c r="E154" i="2"/>
  <c r="F154" i="2"/>
  <c r="G154" i="2"/>
  <c r="H154" i="2"/>
  <c r="I154" i="2"/>
  <c r="J154" i="2"/>
  <c r="K154" i="2"/>
  <c r="L154" i="2"/>
  <c r="M154" i="2"/>
  <c r="N154" i="2"/>
  <c r="O154" i="2"/>
  <c r="P154" i="2"/>
  <c r="Q154" i="2"/>
  <c r="R154" i="2"/>
  <c r="S154" i="2"/>
  <c r="T154" i="2"/>
  <c r="U154" i="2"/>
  <c r="V154" i="2"/>
  <c r="W154" i="2"/>
  <c r="X154" i="2"/>
  <c r="E158" i="2"/>
  <c r="F158" i="2"/>
  <c r="G158" i="2"/>
  <c r="H158" i="2"/>
  <c r="I158" i="2"/>
  <c r="J158" i="2"/>
  <c r="K158" i="2"/>
  <c r="L158" i="2"/>
  <c r="M158" i="2"/>
  <c r="N158" i="2"/>
  <c r="O158" i="2"/>
  <c r="P158" i="2"/>
  <c r="Q158" i="2"/>
  <c r="R158" i="2"/>
  <c r="S158" i="2"/>
  <c r="T158" i="2"/>
  <c r="U158" i="2"/>
  <c r="V158" i="2"/>
  <c r="W158" i="2"/>
  <c r="X158" i="2"/>
  <c r="E162" i="2"/>
  <c r="F162" i="2"/>
  <c r="G162" i="2"/>
  <c r="H162" i="2"/>
  <c r="I162" i="2"/>
  <c r="J162" i="2"/>
  <c r="K162" i="2"/>
  <c r="L162" i="2"/>
  <c r="M162" i="2"/>
  <c r="N162" i="2"/>
  <c r="O162" i="2"/>
  <c r="P162" i="2"/>
  <c r="Q162" i="2"/>
  <c r="R162" i="2"/>
  <c r="S162" i="2"/>
  <c r="T162" i="2"/>
  <c r="U162" i="2"/>
  <c r="V162" i="2"/>
  <c r="W162" i="2"/>
  <c r="X162" i="2"/>
  <c r="E166" i="2"/>
  <c r="F166" i="2"/>
  <c r="G166" i="2"/>
  <c r="H166" i="2"/>
  <c r="I166" i="2"/>
  <c r="J166" i="2"/>
  <c r="K166" i="2"/>
  <c r="L166" i="2"/>
  <c r="M166" i="2"/>
  <c r="N166" i="2"/>
  <c r="O166" i="2"/>
  <c r="P166" i="2"/>
  <c r="Q166" i="2"/>
  <c r="R166" i="2"/>
  <c r="S166" i="2"/>
  <c r="T166" i="2"/>
  <c r="U166" i="2"/>
  <c r="V166" i="2"/>
  <c r="W166" i="2"/>
  <c r="X166" i="2"/>
  <c r="E170" i="2"/>
  <c r="F170" i="2"/>
  <c r="G170" i="2"/>
  <c r="H170" i="2"/>
  <c r="I170" i="2"/>
  <c r="J170" i="2"/>
  <c r="K170" i="2"/>
  <c r="L170" i="2"/>
  <c r="M170" i="2"/>
  <c r="N170" i="2"/>
  <c r="O170" i="2"/>
  <c r="P170" i="2"/>
  <c r="Q170" i="2"/>
  <c r="R170" i="2"/>
  <c r="S170" i="2"/>
  <c r="T170" i="2"/>
  <c r="U170" i="2"/>
  <c r="V170" i="2"/>
  <c r="W170" i="2"/>
  <c r="X170" i="2"/>
  <c r="E174" i="2"/>
  <c r="F174" i="2"/>
  <c r="G174" i="2"/>
  <c r="H174" i="2"/>
  <c r="I174" i="2"/>
  <c r="J174" i="2"/>
  <c r="K174" i="2"/>
  <c r="L174" i="2"/>
  <c r="M174" i="2"/>
  <c r="N174" i="2"/>
  <c r="O174" i="2"/>
  <c r="P174" i="2"/>
  <c r="Q174" i="2"/>
  <c r="R174" i="2"/>
  <c r="S174" i="2"/>
  <c r="T174" i="2"/>
  <c r="U174" i="2"/>
  <c r="V174" i="2"/>
  <c r="W174" i="2"/>
  <c r="X174" i="2"/>
  <c r="E178" i="2"/>
  <c r="F178" i="2"/>
  <c r="G178" i="2"/>
  <c r="H178" i="2"/>
  <c r="I178" i="2"/>
  <c r="J178" i="2"/>
  <c r="K178" i="2"/>
  <c r="L178" i="2"/>
  <c r="M178" i="2"/>
  <c r="N178" i="2"/>
  <c r="O178" i="2"/>
  <c r="P178" i="2"/>
  <c r="Q178" i="2"/>
  <c r="R178" i="2"/>
  <c r="S178" i="2"/>
  <c r="T178" i="2"/>
  <c r="U178" i="2"/>
  <c r="V178" i="2"/>
  <c r="W178" i="2"/>
  <c r="X178" i="2"/>
  <c r="E182" i="2"/>
  <c r="F182" i="2"/>
  <c r="G182" i="2"/>
  <c r="H182" i="2"/>
  <c r="I182" i="2"/>
  <c r="J182" i="2"/>
  <c r="K182" i="2"/>
  <c r="L182" i="2"/>
  <c r="M182" i="2"/>
  <c r="N182" i="2"/>
  <c r="O182" i="2"/>
  <c r="P182" i="2"/>
  <c r="Q182" i="2"/>
  <c r="R182" i="2"/>
  <c r="S182" i="2"/>
  <c r="T182" i="2"/>
  <c r="U182" i="2"/>
  <c r="V182" i="2"/>
  <c r="W182" i="2"/>
  <c r="X182" i="2"/>
  <c r="E188" i="2"/>
  <c r="E187" i="2" s="1"/>
  <c r="E186" i="2" s="1"/>
  <c r="F188" i="2"/>
  <c r="F187" i="2" s="1"/>
  <c r="F186" i="2" s="1"/>
  <c r="G188" i="2"/>
  <c r="G187" i="2" s="1"/>
  <c r="G186" i="2" s="1"/>
  <c r="H188" i="2"/>
  <c r="H187" i="2" s="1"/>
  <c r="H186" i="2" s="1"/>
  <c r="I188" i="2"/>
  <c r="I187" i="2" s="1"/>
  <c r="I186" i="2" s="1"/>
  <c r="J188" i="2"/>
  <c r="J187" i="2" s="1"/>
  <c r="J186" i="2" s="1"/>
  <c r="K188" i="2"/>
  <c r="K187" i="2" s="1"/>
  <c r="K186" i="2" s="1"/>
  <c r="L188" i="2"/>
  <c r="L187" i="2" s="1"/>
  <c r="L186" i="2" s="1"/>
  <c r="M188" i="2"/>
  <c r="M187" i="2" s="1"/>
  <c r="M186" i="2" s="1"/>
  <c r="N188" i="2"/>
  <c r="N187" i="2" s="1"/>
  <c r="N186" i="2" s="1"/>
  <c r="O188" i="2"/>
  <c r="O187" i="2" s="1"/>
  <c r="O186" i="2" s="1"/>
  <c r="P188" i="2"/>
  <c r="P187" i="2" s="1"/>
  <c r="P186" i="2" s="1"/>
  <c r="Q188" i="2"/>
  <c r="Q187" i="2" s="1"/>
  <c r="Q186" i="2" s="1"/>
  <c r="R188" i="2"/>
  <c r="R187" i="2" s="1"/>
  <c r="R186" i="2" s="1"/>
  <c r="S188" i="2"/>
  <c r="S187" i="2" s="1"/>
  <c r="S186" i="2" s="1"/>
  <c r="T188" i="2"/>
  <c r="T187" i="2" s="1"/>
  <c r="T186" i="2" s="1"/>
  <c r="U188" i="2"/>
  <c r="U187" i="2" s="1"/>
  <c r="U186" i="2" s="1"/>
  <c r="V188" i="2"/>
  <c r="V187" i="2" s="1"/>
  <c r="V186" i="2" s="1"/>
  <c r="W188" i="2"/>
  <c r="W187" i="2" s="1"/>
  <c r="W186" i="2" s="1"/>
  <c r="X188" i="2"/>
  <c r="X187" i="2" s="1"/>
  <c r="X186" i="2" s="1"/>
  <c r="E194" i="2"/>
  <c r="F194" i="2"/>
  <c r="G194" i="2"/>
  <c r="H194" i="2"/>
  <c r="I194" i="2"/>
  <c r="J194" i="2"/>
  <c r="K194" i="2"/>
  <c r="L194" i="2"/>
  <c r="M194" i="2"/>
  <c r="N194" i="2"/>
  <c r="O194" i="2"/>
  <c r="P194" i="2"/>
  <c r="Q194" i="2"/>
  <c r="R194" i="2"/>
  <c r="S194" i="2"/>
  <c r="T194" i="2"/>
  <c r="U194" i="2"/>
  <c r="V194" i="2"/>
  <c r="W194" i="2"/>
  <c r="X194" i="2"/>
  <c r="E198" i="2"/>
  <c r="F198" i="2"/>
  <c r="G198" i="2"/>
  <c r="H198" i="2"/>
  <c r="I198" i="2"/>
  <c r="J198" i="2"/>
  <c r="K198" i="2"/>
  <c r="L198" i="2"/>
  <c r="M198" i="2"/>
  <c r="N198" i="2"/>
  <c r="O198" i="2"/>
  <c r="P198" i="2"/>
  <c r="Q198" i="2"/>
  <c r="R198" i="2"/>
  <c r="S198" i="2"/>
  <c r="T198" i="2"/>
  <c r="U198" i="2"/>
  <c r="V198" i="2"/>
  <c r="W198" i="2"/>
  <c r="X198" i="2"/>
  <c r="E200" i="2"/>
  <c r="F200" i="2"/>
  <c r="G200" i="2"/>
  <c r="H200" i="2"/>
  <c r="I200" i="2"/>
  <c r="J200" i="2"/>
  <c r="K200" i="2"/>
  <c r="L200" i="2"/>
  <c r="M200" i="2"/>
  <c r="N200" i="2"/>
  <c r="O200" i="2"/>
  <c r="P200" i="2"/>
  <c r="Q200" i="2"/>
  <c r="R200" i="2"/>
  <c r="S200" i="2"/>
  <c r="T200" i="2"/>
  <c r="U200" i="2"/>
  <c r="V200" i="2"/>
  <c r="W200" i="2"/>
  <c r="X200" i="2"/>
  <c r="E204" i="2"/>
  <c r="F204" i="2"/>
  <c r="G204" i="2"/>
  <c r="H204" i="2"/>
  <c r="I204" i="2"/>
  <c r="J204" i="2"/>
  <c r="K204" i="2"/>
  <c r="L204" i="2"/>
  <c r="M204" i="2"/>
  <c r="N204" i="2"/>
  <c r="O204" i="2"/>
  <c r="P204" i="2"/>
  <c r="Q204" i="2"/>
  <c r="R204" i="2"/>
  <c r="S204" i="2"/>
  <c r="T204" i="2"/>
  <c r="U204" i="2"/>
  <c r="V204" i="2"/>
  <c r="W204" i="2"/>
  <c r="X204" i="2"/>
  <c r="E212" i="2"/>
  <c r="F212" i="2"/>
  <c r="G212" i="2"/>
  <c r="H212" i="2"/>
  <c r="I212" i="2"/>
  <c r="J212" i="2"/>
  <c r="K212" i="2"/>
  <c r="L212" i="2"/>
  <c r="M212" i="2"/>
  <c r="N212" i="2"/>
  <c r="O212" i="2"/>
  <c r="P212" i="2"/>
  <c r="Q212" i="2"/>
  <c r="R212" i="2"/>
  <c r="S212" i="2"/>
  <c r="T212" i="2"/>
  <c r="U212" i="2"/>
  <c r="V212" i="2"/>
  <c r="W212" i="2"/>
  <c r="X212" i="2"/>
  <c r="E214" i="2"/>
  <c r="F214" i="2"/>
  <c r="G214" i="2"/>
  <c r="H214" i="2"/>
  <c r="I214" i="2"/>
  <c r="J214" i="2"/>
  <c r="K214" i="2"/>
  <c r="L214" i="2"/>
  <c r="M214" i="2"/>
  <c r="N214" i="2"/>
  <c r="O214" i="2"/>
  <c r="P214" i="2"/>
  <c r="Q214" i="2"/>
  <c r="R214" i="2"/>
  <c r="S214" i="2"/>
  <c r="T214" i="2"/>
  <c r="U214" i="2"/>
  <c r="V214" i="2"/>
  <c r="W214" i="2"/>
  <c r="X214" i="2"/>
  <c r="E218" i="2"/>
  <c r="E217" i="2" s="1"/>
  <c r="F218" i="2"/>
  <c r="F217" i="2" s="1"/>
  <c r="G218" i="2"/>
  <c r="G217" i="2" s="1"/>
  <c r="H218" i="2"/>
  <c r="H217" i="2" s="1"/>
  <c r="I218" i="2"/>
  <c r="I217" i="2" s="1"/>
  <c r="J218" i="2"/>
  <c r="J217" i="2" s="1"/>
  <c r="K218" i="2"/>
  <c r="K217" i="2" s="1"/>
  <c r="L218" i="2"/>
  <c r="L217" i="2" s="1"/>
  <c r="M218" i="2"/>
  <c r="M217" i="2" s="1"/>
  <c r="N218" i="2"/>
  <c r="N217" i="2" s="1"/>
  <c r="O218" i="2"/>
  <c r="O217" i="2" s="1"/>
  <c r="P218" i="2"/>
  <c r="P217" i="2" s="1"/>
  <c r="Q218" i="2"/>
  <c r="Q217" i="2" s="1"/>
  <c r="R218" i="2"/>
  <c r="R217" i="2" s="1"/>
  <c r="S218" i="2"/>
  <c r="S217" i="2" s="1"/>
  <c r="T218" i="2"/>
  <c r="T217" i="2" s="1"/>
  <c r="U218" i="2"/>
  <c r="U217" i="2" s="1"/>
  <c r="V218" i="2"/>
  <c r="V217" i="2" s="1"/>
  <c r="W218" i="2"/>
  <c r="W217" i="2" s="1"/>
  <c r="X218" i="2"/>
  <c r="X217" i="2" s="1"/>
  <c r="E221" i="2"/>
  <c r="F221" i="2"/>
  <c r="G221" i="2"/>
  <c r="H221" i="2"/>
  <c r="I221" i="2"/>
  <c r="J221" i="2"/>
  <c r="K221" i="2"/>
  <c r="L221" i="2"/>
  <c r="M221" i="2"/>
  <c r="N221" i="2"/>
  <c r="O221" i="2"/>
  <c r="P221" i="2"/>
  <c r="Q221" i="2"/>
  <c r="R221" i="2"/>
  <c r="S221" i="2"/>
  <c r="T221" i="2"/>
  <c r="U221" i="2"/>
  <c r="V221" i="2"/>
  <c r="W221" i="2"/>
  <c r="X221" i="2"/>
  <c r="E223" i="2"/>
  <c r="F223" i="2"/>
  <c r="G223" i="2"/>
  <c r="H223" i="2"/>
  <c r="I223" i="2"/>
  <c r="J223" i="2"/>
  <c r="K223" i="2"/>
  <c r="L223" i="2"/>
  <c r="M223" i="2"/>
  <c r="N223" i="2"/>
  <c r="O223" i="2"/>
  <c r="P223" i="2"/>
  <c r="Q223" i="2"/>
  <c r="R223" i="2"/>
  <c r="S223" i="2"/>
  <c r="T223" i="2"/>
  <c r="U223" i="2"/>
  <c r="V223" i="2"/>
  <c r="W223" i="2"/>
  <c r="X223" i="2"/>
  <c r="E225" i="2"/>
  <c r="F225" i="2"/>
  <c r="G225" i="2"/>
  <c r="H225" i="2"/>
  <c r="I225" i="2"/>
  <c r="J225" i="2"/>
  <c r="K225" i="2"/>
  <c r="L225" i="2"/>
  <c r="M225" i="2"/>
  <c r="N225" i="2"/>
  <c r="O225" i="2"/>
  <c r="P225" i="2"/>
  <c r="Q225" i="2"/>
  <c r="R225" i="2"/>
  <c r="S225" i="2"/>
  <c r="T225" i="2"/>
  <c r="U225" i="2"/>
  <c r="V225" i="2"/>
  <c r="W225" i="2"/>
  <c r="X225" i="2"/>
  <c r="E229" i="2"/>
  <c r="E228" i="2" s="1"/>
  <c r="E227" i="2" s="1"/>
  <c r="F229" i="2"/>
  <c r="F228" i="2" s="1"/>
  <c r="F227" i="2" s="1"/>
  <c r="G229" i="2"/>
  <c r="G228" i="2" s="1"/>
  <c r="G227" i="2" s="1"/>
  <c r="H229" i="2"/>
  <c r="H228" i="2" s="1"/>
  <c r="H227" i="2" s="1"/>
  <c r="I229" i="2"/>
  <c r="I228" i="2" s="1"/>
  <c r="I227" i="2" s="1"/>
  <c r="J229" i="2"/>
  <c r="J228" i="2" s="1"/>
  <c r="J227" i="2" s="1"/>
  <c r="K229" i="2"/>
  <c r="K228" i="2" s="1"/>
  <c r="K227" i="2" s="1"/>
  <c r="L229" i="2"/>
  <c r="L228" i="2" s="1"/>
  <c r="L227" i="2" s="1"/>
  <c r="M229" i="2"/>
  <c r="M228" i="2" s="1"/>
  <c r="M227" i="2" s="1"/>
  <c r="N229" i="2"/>
  <c r="N228" i="2" s="1"/>
  <c r="N227" i="2" s="1"/>
  <c r="O229" i="2"/>
  <c r="O228" i="2" s="1"/>
  <c r="O227" i="2" s="1"/>
  <c r="P229" i="2"/>
  <c r="P228" i="2" s="1"/>
  <c r="P227" i="2" s="1"/>
  <c r="Q229" i="2"/>
  <c r="Q228" i="2" s="1"/>
  <c r="Q227" i="2" s="1"/>
  <c r="R229" i="2"/>
  <c r="R228" i="2" s="1"/>
  <c r="R227" i="2" s="1"/>
  <c r="S229" i="2"/>
  <c r="S228" i="2" s="1"/>
  <c r="S227" i="2" s="1"/>
  <c r="T229" i="2"/>
  <c r="T228" i="2" s="1"/>
  <c r="T227" i="2" s="1"/>
  <c r="U229" i="2"/>
  <c r="U228" i="2" s="1"/>
  <c r="U227" i="2" s="1"/>
  <c r="V229" i="2"/>
  <c r="V228" i="2" s="1"/>
  <c r="V227" i="2" s="1"/>
  <c r="W229" i="2"/>
  <c r="W228" i="2" s="1"/>
  <c r="W227" i="2" s="1"/>
  <c r="X229" i="2"/>
  <c r="X228" i="2" s="1"/>
  <c r="X227" i="2" s="1"/>
  <c r="E233" i="2"/>
  <c r="E232" i="2" s="1"/>
  <c r="F233" i="2"/>
  <c r="F232" i="2" s="1"/>
  <c r="G233" i="2"/>
  <c r="G232" i="2" s="1"/>
  <c r="H233" i="2"/>
  <c r="H232" i="2" s="1"/>
  <c r="I233" i="2"/>
  <c r="I232" i="2" s="1"/>
  <c r="J233" i="2"/>
  <c r="J232" i="2" s="1"/>
  <c r="K233" i="2"/>
  <c r="K232" i="2" s="1"/>
  <c r="L233" i="2"/>
  <c r="L232" i="2" s="1"/>
  <c r="M233" i="2"/>
  <c r="M232" i="2" s="1"/>
  <c r="N233" i="2"/>
  <c r="N232" i="2" s="1"/>
  <c r="O233" i="2"/>
  <c r="O232" i="2" s="1"/>
  <c r="P233" i="2"/>
  <c r="P232" i="2" s="1"/>
  <c r="Q233" i="2"/>
  <c r="Q232" i="2" s="1"/>
  <c r="R233" i="2"/>
  <c r="R232" i="2" s="1"/>
  <c r="S233" i="2"/>
  <c r="S232" i="2" s="1"/>
  <c r="T233" i="2"/>
  <c r="T232" i="2" s="1"/>
  <c r="U233" i="2"/>
  <c r="U232" i="2" s="1"/>
  <c r="V233" i="2"/>
  <c r="V232" i="2" s="1"/>
  <c r="W233" i="2"/>
  <c r="W232" i="2" s="1"/>
  <c r="X233" i="2"/>
  <c r="X232" i="2" s="1"/>
  <c r="E236" i="2"/>
  <c r="E235" i="2" s="1"/>
  <c r="F236" i="2"/>
  <c r="F235" i="2" s="1"/>
  <c r="G236" i="2"/>
  <c r="G235" i="2" s="1"/>
  <c r="H236" i="2"/>
  <c r="H235" i="2" s="1"/>
  <c r="I236" i="2"/>
  <c r="I235" i="2" s="1"/>
  <c r="J236" i="2"/>
  <c r="J235" i="2" s="1"/>
  <c r="K236" i="2"/>
  <c r="K235" i="2" s="1"/>
  <c r="L236" i="2"/>
  <c r="L235" i="2" s="1"/>
  <c r="M236" i="2"/>
  <c r="M235" i="2" s="1"/>
  <c r="N236" i="2"/>
  <c r="N235" i="2" s="1"/>
  <c r="O236" i="2"/>
  <c r="O235" i="2" s="1"/>
  <c r="O231" i="2" s="1"/>
  <c r="P236" i="2"/>
  <c r="P235" i="2" s="1"/>
  <c r="Q236" i="2"/>
  <c r="Q235" i="2" s="1"/>
  <c r="R236" i="2"/>
  <c r="R235" i="2" s="1"/>
  <c r="S236" i="2"/>
  <c r="S235" i="2" s="1"/>
  <c r="T236" i="2"/>
  <c r="T235" i="2" s="1"/>
  <c r="U236" i="2"/>
  <c r="U235" i="2" s="1"/>
  <c r="V236" i="2"/>
  <c r="V235" i="2" s="1"/>
  <c r="W236" i="2"/>
  <c r="W235" i="2" s="1"/>
  <c r="W231" i="2" s="1"/>
  <c r="X236" i="2"/>
  <c r="X235" i="2" s="1"/>
  <c r="E240" i="2"/>
  <c r="E239" i="2" s="1"/>
  <c r="E238" i="2" s="1"/>
  <c r="F240" i="2"/>
  <c r="F239" i="2" s="1"/>
  <c r="F238" i="2" s="1"/>
  <c r="G240" i="2"/>
  <c r="G239" i="2" s="1"/>
  <c r="G238" i="2" s="1"/>
  <c r="H240" i="2"/>
  <c r="H239" i="2" s="1"/>
  <c r="H238" i="2" s="1"/>
  <c r="I240" i="2"/>
  <c r="I239" i="2" s="1"/>
  <c r="I238" i="2" s="1"/>
  <c r="J240" i="2"/>
  <c r="J239" i="2" s="1"/>
  <c r="J238" i="2" s="1"/>
  <c r="K240" i="2"/>
  <c r="K239" i="2" s="1"/>
  <c r="K238" i="2" s="1"/>
  <c r="L240" i="2"/>
  <c r="L239" i="2" s="1"/>
  <c r="L238" i="2" s="1"/>
  <c r="M240" i="2"/>
  <c r="M239" i="2" s="1"/>
  <c r="M238" i="2" s="1"/>
  <c r="N240" i="2"/>
  <c r="N239" i="2" s="1"/>
  <c r="N238" i="2" s="1"/>
  <c r="O240" i="2"/>
  <c r="O239" i="2" s="1"/>
  <c r="O238" i="2" s="1"/>
  <c r="P240" i="2"/>
  <c r="P239" i="2" s="1"/>
  <c r="P238" i="2" s="1"/>
  <c r="Q240" i="2"/>
  <c r="Q239" i="2" s="1"/>
  <c r="Q238" i="2" s="1"/>
  <c r="R240" i="2"/>
  <c r="R239" i="2" s="1"/>
  <c r="R238" i="2" s="1"/>
  <c r="S240" i="2"/>
  <c r="S239" i="2" s="1"/>
  <c r="S238" i="2" s="1"/>
  <c r="T240" i="2"/>
  <c r="T239" i="2" s="1"/>
  <c r="T238" i="2" s="1"/>
  <c r="U240" i="2"/>
  <c r="U239" i="2" s="1"/>
  <c r="U238" i="2" s="1"/>
  <c r="V240" i="2"/>
  <c r="V239" i="2" s="1"/>
  <c r="V238" i="2" s="1"/>
  <c r="W240" i="2"/>
  <c r="W239" i="2" s="1"/>
  <c r="W238" i="2" s="1"/>
  <c r="X240" i="2"/>
  <c r="X239" i="2" s="1"/>
  <c r="X238" i="2" s="1"/>
  <c r="E244" i="2"/>
  <c r="F244" i="2"/>
  <c r="G244" i="2"/>
  <c r="H244" i="2"/>
  <c r="I244" i="2"/>
  <c r="J244" i="2"/>
  <c r="K244" i="2"/>
  <c r="L244" i="2"/>
  <c r="M244" i="2"/>
  <c r="N244" i="2"/>
  <c r="O244" i="2"/>
  <c r="P244" i="2"/>
  <c r="Q244" i="2"/>
  <c r="R244" i="2"/>
  <c r="S244" i="2"/>
  <c r="T244" i="2"/>
  <c r="U244" i="2"/>
  <c r="V244" i="2"/>
  <c r="W244" i="2"/>
  <c r="X244" i="2"/>
  <c r="E248" i="2"/>
  <c r="F248" i="2"/>
  <c r="G248" i="2"/>
  <c r="H248" i="2"/>
  <c r="I248" i="2"/>
  <c r="J248" i="2"/>
  <c r="K248" i="2"/>
  <c r="L248" i="2"/>
  <c r="M248" i="2"/>
  <c r="N248" i="2"/>
  <c r="O248" i="2"/>
  <c r="P248" i="2"/>
  <c r="Q248" i="2"/>
  <c r="R248" i="2"/>
  <c r="S248" i="2"/>
  <c r="T248" i="2"/>
  <c r="U248" i="2"/>
  <c r="V248" i="2"/>
  <c r="W248" i="2"/>
  <c r="X248" i="2"/>
  <c r="E252" i="2"/>
  <c r="F252" i="2"/>
  <c r="G252" i="2"/>
  <c r="H252" i="2"/>
  <c r="I252" i="2"/>
  <c r="J252" i="2"/>
  <c r="K252" i="2"/>
  <c r="L252" i="2"/>
  <c r="M252" i="2"/>
  <c r="N252" i="2"/>
  <c r="O252" i="2"/>
  <c r="P252" i="2"/>
  <c r="Q252" i="2"/>
  <c r="R252" i="2"/>
  <c r="S252" i="2"/>
  <c r="T252" i="2"/>
  <c r="U252" i="2"/>
  <c r="V252" i="2"/>
  <c r="W252" i="2"/>
  <c r="X252" i="2"/>
  <c r="E256" i="2"/>
  <c r="F256" i="2"/>
  <c r="G256" i="2"/>
  <c r="H256" i="2"/>
  <c r="I256" i="2"/>
  <c r="J256" i="2"/>
  <c r="K256" i="2"/>
  <c r="L256" i="2"/>
  <c r="M256" i="2"/>
  <c r="N256" i="2"/>
  <c r="O256" i="2"/>
  <c r="P256" i="2"/>
  <c r="Q256" i="2"/>
  <c r="R256" i="2"/>
  <c r="S256" i="2"/>
  <c r="T256" i="2"/>
  <c r="U256" i="2"/>
  <c r="V256" i="2"/>
  <c r="W256" i="2"/>
  <c r="X256" i="2"/>
  <c r="E258" i="2"/>
  <c r="F258" i="2"/>
  <c r="G258" i="2"/>
  <c r="H258" i="2"/>
  <c r="I258" i="2"/>
  <c r="J258" i="2"/>
  <c r="K258" i="2"/>
  <c r="L258" i="2"/>
  <c r="M258" i="2"/>
  <c r="N258" i="2"/>
  <c r="O258" i="2"/>
  <c r="P258" i="2"/>
  <c r="Q258" i="2"/>
  <c r="R258" i="2"/>
  <c r="S258" i="2"/>
  <c r="T258" i="2"/>
  <c r="U258" i="2"/>
  <c r="V258" i="2"/>
  <c r="W258" i="2"/>
  <c r="X258" i="2"/>
  <c r="E260" i="2"/>
  <c r="F260" i="2"/>
  <c r="G260" i="2"/>
  <c r="H260" i="2"/>
  <c r="I260" i="2"/>
  <c r="J260" i="2"/>
  <c r="K260" i="2"/>
  <c r="L260" i="2"/>
  <c r="M260" i="2"/>
  <c r="N260" i="2"/>
  <c r="O260" i="2"/>
  <c r="P260" i="2"/>
  <c r="Q260" i="2"/>
  <c r="R260" i="2"/>
  <c r="S260" i="2"/>
  <c r="T260" i="2"/>
  <c r="U260" i="2"/>
  <c r="V260" i="2"/>
  <c r="W260" i="2"/>
  <c r="X260" i="2"/>
  <c r="E264" i="2"/>
  <c r="E263" i="2" s="1"/>
  <c r="E262" i="2" s="1"/>
  <c r="F264" i="2"/>
  <c r="F263" i="2" s="1"/>
  <c r="F262" i="2" s="1"/>
  <c r="G264" i="2"/>
  <c r="G263" i="2" s="1"/>
  <c r="G262" i="2" s="1"/>
  <c r="H264" i="2"/>
  <c r="H263" i="2" s="1"/>
  <c r="H262" i="2" s="1"/>
  <c r="I264" i="2"/>
  <c r="I263" i="2" s="1"/>
  <c r="I262" i="2" s="1"/>
  <c r="J264" i="2"/>
  <c r="J263" i="2" s="1"/>
  <c r="J262" i="2" s="1"/>
  <c r="K264" i="2"/>
  <c r="K263" i="2" s="1"/>
  <c r="K262" i="2" s="1"/>
  <c r="L264" i="2"/>
  <c r="L263" i="2" s="1"/>
  <c r="L262" i="2" s="1"/>
  <c r="M264" i="2"/>
  <c r="M263" i="2" s="1"/>
  <c r="M262" i="2" s="1"/>
  <c r="N264" i="2"/>
  <c r="N263" i="2" s="1"/>
  <c r="N262" i="2" s="1"/>
  <c r="O264" i="2"/>
  <c r="O263" i="2" s="1"/>
  <c r="O262" i="2" s="1"/>
  <c r="P264" i="2"/>
  <c r="P263" i="2" s="1"/>
  <c r="P262" i="2" s="1"/>
  <c r="Q264" i="2"/>
  <c r="Q263" i="2" s="1"/>
  <c r="Q262" i="2" s="1"/>
  <c r="R264" i="2"/>
  <c r="R263" i="2" s="1"/>
  <c r="R262" i="2" s="1"/>
  <c r="S264" i="2"/>
  <c r="S263" i="2" s="1"/>
  <c r="S262" i="2" s="1"/>
  <c r="T264" i="2"/>
  <c r="T263" i="2" s="1"/>
  <c r="T262" i="2" s="1"/>
  <c r="U264" i="2"/>
  <c r="U263" i="2" s="1"/>
  <c r="U262" i="2" s="1"/>
  <c r="V264" i="2"/>
  <c r="V263" i="2" s="1"/>
  <c r="V262" i="2" s="1"/>
  <c r="W264" i="2"/>
  <c r="W263" i="2" s="1"/>
  <c r="W262" i="2" s="1"/>
  <c r="X264" i="2"/>
  <c r="X263" i="2" s="1"/>
  <c r="X262" i="2" s="1"/>
  <c r="E269" i="2"/>
  <c r="E268" i="2" s="1"/>
  <c r="F269" i="2"/>
  <c r="F268" i="2" s="1"/>
  <c r="G269" i="2"/>
  <c r="G268" i="2" s="1"/>
  <c r="H269" i="2"/>
  <c r="H268" i="2" s="1"/>
  <c r="I269" i="2"/>
  <c r="I268" i="2" s="1"/>
  <c r="J269" i="2"/>
  <c r="J268" i="2" s="1"/>
  <c r="K269" i="2"/>
  <c r="K268" i="2" s="1"/>
  <c r="L269" i="2"/>
  <c r="L268" i="2" s="1"/>
  <c r="M269" i="2"/>
  <c r="M268" i="2" s="1"/>
  <c r="N269" i="2"/>
  <c r="N268" i="2" s="1"/>
  <c r="O269" i="2"/>
  <c r="O268" i="2" s="1"/>
  <c r="P269" i="2"/>
  <c r="P268" i="2" s="1"/>
  <c r="Q269" i="2"/>
  <c r="Q268" i="2" s="1"/>
  <c r="R269" i="2"/>
  <c r="R268" i="2" s="1"/>
  <c r="S269" i="2"/>
  <c r="S268" i="2" s="1"/>
  <c r="T269" i="2"/>
  <c r="T268" i="2" s="1"/>
  <c r="U269" i="2"/>
  <c r="U268" i="2" s="1"/>
  <c r="V269" i="2"/>
  <c r="V268" i="2" s="1"/>
  <c r="W269" i="2"/>
  <c r="W268" i="2" s="1"/>
  <c r="X269" i="2"/>
  <c r="X268" i="2" s="1"/>
  <c r="E272" i="2"/>
  <c r="E271" i="2" s="1"/>
  <c r="F272" i="2"/>
  <c r="F271" i="2" s="1"/>
  <c r="G272" i="2"/>
  <c r="G271" i="2" s="1"/>
  <c r="H272" i="2"/>
  <c r="H271" i="2" s="1"/>
  <c r="I272" i="2"/>
  <c r="I271" i="2" s="1"/>
  <c r="J272" i="2"/>
  <c r="J271" i="2" s="1"/>
  <c r="K272" i="2"/>
  <c r="K271" i="2" s="1"/>
  <c r="L272" i="2"/>
  <c r="L271" i="2" s="1"/>
  <c r="M272" i="2"/>
  <c r="M271" i="2" s="1"/>
  <c r="N272" i="2"/>
  <c r="N271" i="2" s="1"/>
  <c r="O272" i="2"/>
  <c r="O271" i="2" s="1"/>
  <c r="P272" i="2"/>
  <c r="P271" i="2" s="1"/>
  <c r="Q272" i="2"/>
  <c r="Q271" i="2" s="1"/>
  <c r="R272" i="2"/>
  <c r="R271" i="2" s="1"/>
  <c r="S272" i="2"/>
  <c r="S271" i="2" s="1"/>
  <c r="T272" i="2"/>
  <c r="T271" i="2" s="1"/>
  <c r="U272" i="2"/>
  <c r="U271" i="2" s="1"/>
  <c r="V272" i="2"/>
  <c r="V271" i="2" s="1"/>
  <c r="W272" i="2"/>
  <c r="W271" i="2" s="1"/>
  <c r="X272" i="2"/>
  <c r="X271" i="2" s="1"/>
  <c r="E277" i="2"/>
  <c r="F277" i="2"/>
  <c r="G277" i="2"/>
  <c r="H277" i="2"/>
  <c r="I277" i="2"/>
  <c r="J277" i="2"/>
  <c r="K277" i="2"/>
  <c r="L277" i="2"/>
  <c r="M277" i="2"/>
  <c r="N277" i="2"/>
  <c r="O277" i="2"/>
  <c r="P277" i="2"/>
  <c r="Q277" i="2"/>
  <c r="R277" i="2"/>
  <c r="S277" i="2"/>
  <c r="T277" i="2"/>
  <c r="U277" i="2"/>
  <c r="V277" i="2"/>
  <c r="W277" i="2"/>
  <c r="X277" i="2"/>
  <c r="E282" i="2"/>
  <c r="F282" i="2"/>
  <c r="G282" i="2"/>
  <c r="H282" i="2"/>
  <c r="I282" i="2"/>
  <c r="J282" i="2"/>
  <c r="K282" i="2"/>
  <c r="L282" i="2"/>
  <c r="M282" i="2"/>
  <c r="N282" i="2"/>
  <c r="O282" i="2"/>
  <c r="P282" i="2"/>
  <c r="Q282" i="2"/>
  <c r="R282" i="2"/>
  <c r="S282" i="2"/>
  <c r="T282" i="2"/>
  <c r="U282" i="2"/>
  <c r="V282" i="2"/>
  <c r="W282" i="2"/>
  <c r="X282" i="2"/>
  <c r="E285" i="2"/>
  <c r="F285" i="2"/>
  <c r="G285" i="2"/>
  <c r="H285" i="2"/>
  <c r="I285" i="2"/>
  <c r="J285" i="2"/>
  <c r="K285" i="2"/>
  <c r="L285" i="2"/>
  <c r="M285" i="2"/>
  <c r="N285" i="2"/>
  <c r="O285" i="2"/>
  <c r="P285" i="2"/>
  <c r="Q285" i="2"/>
  <c r="R285" i="2"/>
  <c r="S285" i="2"/>
  <c r="T285" i="2"/>
  <c r="U285" i="2"/>
  <c r="V285" i="2"/>
  <c r="W285" i="2"/>
  <c r="X285" i="2"/>
  <c r="E289" i="2"/>
  <c r="E288" i="2" s="1"/>
  <c r="F289" i="2"/>
  <c r="F288" i="2" s="1"/>
  <c r="G289" i="2"/>
  <c r="G288" i="2" s="1"/>
  <c r="H289" i="2"/>
  <c r="H288" i="2" s="1"/>
  <c r="I289" i="2"/>
  <c r="I288" i="2" s="1"/>
  <c r="J289" i="2"/>
  <c r="J288" i="2" s="1"/>
  <c r="K289" i="2"/>
  <c r="K288" i="2" s="1"/>
  <c r="L289" i="2"/>
  <c r="L288" i="2" s="1"/>
  <c r="M289" i="2"/>
  <c r="M288" i="2" s="1"/>
  <c r="N289" i="2"/>
  <c r="N288" i="2" s="1"/>
  <c r="O289" i="2"/>
  <c r="O288" i="2" s="1"/>
  <c r="P289" i="2"/>
  <c r="P288" i="2" s="1"/>
  <c r="Q289" i="2"/>
  <c r="Q288" i="2" s="1"/>
  <c r="R289" i="2"/>
  <c r="R288" i="2" s="1"/>
  <c r="S289" i="2"/>
  <c r="S288" i="2" s="1"/>
  <c r="T289" i="2"/>
  <c r="T288" i="2" s="1"/>
  <c r="U289" i="2"/>
  <c r="U288" i="2" s="1"/>
  <c r="V289" i="2"/>
  <c r="V288" i="2" s="1"/>
  <c r="W289" i="2"/>
  <c r="W288" i="2" s="1"/>
  <c r="X289" i="2"/>
  <c r="X288" i="2" s="1"/>
  <c r="E298" i="2"/>
  <c r="F298" i="2"/>
  <c r="G298" i="2"/>
  <c r="H298" i="2"/>
  <c r="I298" i="2"/>
  <c r="J298" i="2"/>
  <c r="K298" i="2"/>
  <c r="L298" i="2"/>
  <c r="M298" i="2"/>
  <c r="N298" i="2"/>
  <c r="O298" i="2"/>
  <c r="P298" i="2"/>
  <c r="Q298" i="2"/>
  <c r="R298" i="2"/>
  <c r="S298" i="2"/>
  <c r="T298" i="2"/>
  <c r="U298" i="2"/>
  <c r="V298" i="2"/>
  <c r="W298" i="2"/>
  <c r="X298" i="2"/>
  <c r="E302" i="2"/>
  <c r="F302" i="2"/>
  <c r="G302" i="2"/>
  <c r="H302" i="2"/>
  <c r="I302" i="2"/>
  <c r="J302" i="2"/>
  <c r="K302" i="2"/>
  <c r="L302" i="2"/>
  <c r="M302" i="2"/>
  <c r="N302" i="2"/>
  <c r="O302" i="2"/>
  <c r="P302" i="2"/>
  <c r="Q302" i="2"/>
  <c r="R302" i="2"/>
  <c r="S302" i="2"/>
  <c r="T302" i="2"/>
  <c r="U302" i="2"/>
  <c r="V302" i="2"/>
  <c r="W302" i="2"/>
  <c r="X302" i="2"/>
  <c r="E304" i="2"/>
  <c r="F304" i="2"/>
  <c r="G304" i="2"/>
  <c r="H304" i="2"/>
  <c r="I304" i="2"/>
  <c r="J304" i="2"/>
  <c r="K304" i="2"/>
  <c r="L304" i="2"/>
  <c r="M304" i="2"/>
  <c r="N304" i="2"/>
  <c r="O304" i="2"/>
  <c r="P304" i="2"/>
  <c r="Q304" i="2"/>
  <c r="R304" i="2"/>
  <c r="S304" i="2"/>
  <c r="T304" i="2"/>
  <c r="U304" i="2"/>
  <c r="V304" i="2"/>
  <c r="W304" i="2"/>
  <c r="X304" i="2"/>
  <c r="E306" i="2"/>
  <c r="F306" i="2"/>
  <c r="G306" i="2"/>
  <c r="H306" i="2"/>
  <c r="I306" i="2"/>
  <c r="J306" i="2"/>
  <c r="K306" i="2"/>
  <c r="L306" i="2"/>
  <c r="M306" i="2"/>
  <c r="N306" i="2"/>
  <c r="O306" i="2"/>
  <c r="P306" i="2"/>
  <c r="Q306" i="2"/>
  <c r="R306" i="2"/>
  <c r="S306" i="2"/>
  <c r="T306" i="2"/>
  <c r="U306" i="2"/>
  <c r="V306" i="2"/>
  <c r="W306" i="2"/>
  <c r="X306" i="2"/>
  <c r="E309" i="2"/>
  <c r="E308" i="2" s="1"/>
  <c r="F309" i="2"/>
  <c r="F308" i="2" s="1"/>
  <c r="G309" i="2"/>
  <c r="G308" i="2" s="1"/>
  <c r="H309" i="2"/>
  <c r="H308" i="2" s="1"/>
  <c r="I309" i="2"/>
  <c r="I308" i="2" s="1"/>
  <c r="J309" i="2"/>
  <c r="J308" i="2" s="1"/>
  <c r="K309" i="2"/>
  <c r="K308" i="2" s="1"/>
  <c r="L309" i="2"/>
  <c r="L308" i="2" s="1"/>
  <c r="M309" i="2"/>
  <c r="M308" i="2" s="1"/>
  <c r="N309" i="2"/>
  <c r="N308" i="2" s="1"/>
  <c r="O309" i="2"/>
  <c r="O308" i="2" s="1"/>
  <c r="P309" i="2"/>
  <c r="P308" i="2" s="1"/>
  <c r="Q309" i="2"/>
  <c r="Q308" i="2" s="1"/>
  <c r="R309" i="2"/>
  <c r="R308" i="2" s="1"/>
  <c r="S309" i="2"/>
  <c r="S308" i="2" s="1"/>
  <c r="T309" i="2"/>
  <c r="T308" i="2" s="1"/>
  <c r="U309" i="2"/>
  <c r="U308" i="2" s="1"/>
  <c r="V309" i="2"/>
  <c r="V308" i="2" s="1"/>
  <c r="W309" i="2"/>
  <c r="W308" i="2" s="1"/>
  <c r="X309" i="2"/>
  <c r="X308" i="2" s="1"/>
  <c r="E313" i="2"/>
  <c r="E312" i="2" s="1"/>
  <c r="E311" i="2" s="1"/>
  <c r="F313" i="2"/>
  <c r="F312" i="2" s="1"/>
  <c r="F311" i="2" s="1"/>
  <c r="G313" i="2"/>
  <c r="G312" i="2" s="1"/>
  <c r="G311" i="2" s="1"/>
  <c r="H313" i="2"/>
  <c r="H312" i="2" s="1"/>
  <c r="H311" i="2" s="1"/>
  <c r="I313" i="2"/>
  <c r="I312" i="2" s="1"/>
  <c r="I311" i="2" s="1"/>
  <c r="J313" i="2"/>
  <c r="J312" i="2" s="1"/>
  <c r="J311" i="2" s="1"/>
  <c r="K313" i="2"/>
  <c r="K312" i="2" s="1"/>
  <c r="K311" i="2" s="1"/>
  <c r="L313" i="2"/>
  <c r="L312" i="2" s="1"/>
  <c r="L311" i="2" s="1"/>
  <c r="M313" i="2"/>
  <c r="M312" i="2" s="1"/>
  <c r="M311" i="2" s="1"/>
  <c r="N313" i="2"/>
  <c r="N312" i="2" s="1"/>
  <c r="N311" i="2" s="1"/>
  <c r="O313" i="2"/>
  <c r="O312" i="2" s="1"/>
  <c r="O311" i="2" s="1"/>
  <c r="P313" i="2"/>
  <c r="P312" i="2" s="1"/>
  <c r="P311" i="2" s="1"/>
  <c r="Q313" i="2"/>
  <c r="Q312" i="2" s="1"/>
  <c r="Q311" i="2" s="1"/>
  <c r="R313" i="2"/>
  <c r="R312" i="2" s="1"/>
  <c r="R311" i="2" s="1"/>
  <c r="S313" i="2"/>
  <c r="S312" i="2" s="1"/>
  <c r="S311" i="2" s="1"/>
  <c r="T313" i="2"/>
  <c r="T312" i="2" s="1"/>
  <c r="T311" i="2" s="1"/>
  <c r="U313" i="2"/>
  <c r="U312" i="2" s="1"/>
  <c r="U311" i="2" s="1"/>
  <c r="V313" i="2"/>
  <c r="V312" i="2" s="1"/>
  <c r="V311" i="2" s="1"/>
  <c r="W313" i="2"/>
  <c r="W312" i="2" s="1"/>
  <c r="W311" i="2" s="1"/>
  <c r="X313" i="2"/>
  <c r="X312" i="2" s="1"/>
  <c r="X311" i="2" s="1"/>
  <c r="E322" i="2"/>
  <c r="E321" i="2" s="1"/>
  <c r="E320" i="2" s="1"/>
  <c r="F322" i="2"/>
  <c r="F321" i="2" s="1"/>
  <c r="F320" i="2" s="1"/>
  <c r="G322" i="2"/>
  <c r="G321" i="2" s="1"/>
  <c r="G320" i="2" s="1"/>
  <c r="H322" i="2"/>
  <c r="H321" i="2" s="1"/>
  <c r="H320" i="2" s="1"/>
  <c r="I322" i="2"/>
  <c r="I321" i="2" s="1"/>
  <c r="I320" i="2" s="1"/>
  <c r="J322" i="2"/>
  <c r="J321" i="2" s="1"/>
  <c r="J320" i="2" s="1"/>
  <c r="K322" i="2"/>
  <c r="K321" i="2" s="1"/>
  <c r="K320" i="2" s="1"/>
  <c r="L322" i="2"/>
  <c r="L321" i="2" s="1"/>
  <c r="L320" i="2" s="1"/>
  <c r="M322" i="2"/>
  <c r="M321" i="2" s="1"/>
  <c r="M320" i="2" s="1"/>
  <c r="N322" i="2"/>
  <c r="N321" i="2" s="1"/>
  <c r="N320" i="2" s="1"/>
  <c r="O322" i="2"/>
  <c r="O321" i="2" s="1"/>
  <c r="O320" i="2" s="1"/>
  <c r="P322" i="2"/>
  <c r="P321" i="2" s="1"/>
  <c r="P320" i="2" s="1"/>
  <c r="Q322" i="2"/>
  <c r="Q321" i="2" s="1"/>
  <c r="Q320" i="2" s="1"/>
  <c r="R322" i="2"/>
  <c r="R321" i="2" s="1"/>
  <c r="R320" i="2" s="1"/>
  <c r="S322" i="2"/>
  <c r="S321" i="2" s="1"/>
  <c r="S320" i="2" s="1"/>
  <c r="T322" i="2"/>
  <c r="T321" i="2" s="1"/>
  <c r="T320" i="2" s="1"/>
  <c r="U322" i="2"/>
  <c r="U321" i="2" s="1"/>
  <c r="U320" i="2" s="1"/>
  <c r="V322" i="2"/>
  <c r="V321" i="2" s="1"/>
  <c r="V320" i="2" s="1"/>
  <c r="W322" i="2"/>
  <c r="W321" i="2" s="1"/>
  <c r="W320" i="2" s="1"/>
  <c r="X322" i="2"/>
  <c r="X321" i="2" s="1"/>
  <c r="X320" i="2" s="1"/>
  <c r="E335" i="2"/>
  <c r="F335" i="2"/>
  <c r="G335" i="2"/>
  <c r="H335" i="2"/>
  <c r="I335" i="2"/>
  <c r="J335" i="2"/>
  <c r="K335" i="2"/>
  <c r="L335" i="2"/>
  <c r="M335" i="2"/>
  <c r="N335" i="2"/>
  <c r="O335" i="2"/>
  <c r="P335" i="2"/>
  <c r="Q335" i="2"/>
  <c r="R335" i="2"/>
  <c r="S335" i="2"/>
  <c r="T335" i="2"/>
  <c r="U335" i="2"/>
  <c r="V335" i="2"/>
  <c r="W335" i="2"/>
  <c r="X335" i="2"/>
  <c r="E337" i="2"/>
  <c r="F337" i="2"/>
  <c r="G337" i="2"/>
  <c r="H337" i="2"/>
  <c r="I337" i="2"/>
  <c r="J337" i="2"/>
  <c r="K337" i="2"/>
  <c r="L337" i="2"/>
  <c r="M337" i="2"/>
  <c r="N337" i="2"/>
  <c r="O337" i="2"/>
  <c r="P337" i="2"/>
  <c r="Q337" i="2"/>
  <c r="R337" i="2"/>
  <c r="S337" i="2"/>
  <c r="T337" i="2"/>
  <c r="U337" i="2"/>
  <c r="V337" i="2"/>
  <c r="W337" i="2"/>
  <c r="X337" i="2"/>
  <c r="E339" i="2"/>
  <c r="F339" i="2"/>
  <c r="G339" i="2"/>
  <c r="H339" i="2"/>
  <c r="I339" i="2"/>
  <c r="J339" i="2"/>
  <c r="K339" i="2"/>
  <c r="L339" i="2"/>
  <c r="M339" i="2"/>
  <c r="N339" i="2"/>
  <c r="O339" i="2"/>
  <c r="P339" i="2"/>
  <c r="Q339" i="2"/>
  <c r="R339" i="2"/>
  <c r="S339" i="2"/>
  <c r="T339" i="2"/>
  <c r="U339" i="2"/>
  <c r="V339" i="2"/>
  <c r="W339" i="2"/>
  <c r="X339" i="2"/>
  <c r="E341" i="2"/>
  <c r="F341" i="2"/>
  <c r="G341" i="2"/>
  <c r="H341" i="2"/>
  <c r="I341" i="2"/>
  <c r="J341" i="2"/>
  <c r="K341" i="2"/>
  <c r="L341" i="2"/>
  <c r="M341" i="2"/>
  <c r="N341" i="2"/>
  <c r="O341" i="2"/>
  <c r="P341" i="2"/>
  <c r="Q341" i="2"/>
  <c r="R341" i="2"/>
  <c r="S341" i="2"/>
  <c r="T341" i="2"/>
  <c r="U341" i="2"/>
  <c r="V341" i="2"/>
  <c r="W341" i="2"/>
  <c r="X341" i="2"/>
  <c r="E345" i="2"/>
  <c r="E344" i="2" s="1"/>
  <c r="F345" i="2"/>
  <c r="F344" i="2" s="1"/>
  <c r="G345" i="2"/>
  <c r="G344" i="2" s="1"/>
  <c r="H345" i="2"/>
  <c r="H344" i="2" s="1"/>
  <c r="I345" i="2"/>
  <c r="I344" i="2" s="1"/>
  <c r="J345" i="2"/>
  <c r="J344" i="2" s="1"/>
  <c r="K345" i="2"/>
  <c r="K344" i="2" s="1"/>
  <c r="L345" i="2"/>
  <c r="L344" i="2" s="1"/>
  <c r="M345" i="2"/>
  <c r="M344" i="2" s="1"/>
  <c r="N345" i="2"/>
  <c r="N344" i="2" s="1"/>
  <c r="O345" i="2"/>
  <c r="O344" i="2" s="1"/>
  <c r="P345" i="2"/>
  <c r="P344" i="2" s="1"/>
  <c r="Q345" i="2"/>
  <c r="Q344" i="2" s="1"/>
  <c r="R345" i="2"/>
  <c r="R344" i="2" s="1"/>
  <c r="S345" i="2"/>
  <c r="S344" i="2" s="1"/>
  <c r="T345" i="2"/>
  <c r="T344" i="2" s="1"/>
  <c r="U345" i="2"/>
  <c r="U344" i="2" s="1"/>
  <c r="V345" i="2"/>
  <c r="V344" i="2" s="1"/>
  <c r="W345" i="2"/>
  <c r="W344" i="2" s="1"/>
  <c r="X345" i="2"/>
  <c r="X344" i="2" s="1"/>
  <c r="E348" i="2"/>
  <c r="F348" i="2"/>
  <c r="G348" i="2"/>
  <c r="H348" i="2"/>
  <c r="I348" i="2"/>
  <c r="J348" i="2"/>
  <c r="K348" i="2"/>
  <c r="L348" i="2"/>
  <c r="M348" i="2"/>
  <c r="N348" i="2"/>
  <c r="O348" i="2"/>
  <c r="P348" i="2"/>
  <c r="Q348" i="2"/>
  <c r="R348" i="2"/>
  <c r="S348" i="2"/>
  <c r="T348" i="2"/>
  <c r="U348" i="2"/>
  <c r="V348" i="2"/>
  <c r="W348" i="2"/>
  <c r="X348" i="2"/>
  <c r="E350" i="2"/>
  <c r="F350" i="2"/>
  <c r="G350" i="2"/>
  <c r="H350" i="2"/>
  <c r="I350" i="2"/>
  <c r="J350" i="2"/>
  <c r="K350" i="2"/>
  <c r="L350" i="2"/>
  <c r="M350" i="2"/>
  <c r="N350" i="2"/>
  <c r="O350" i="2"/>
  <c r="P350" i="2"/>
  <c r="Q350" i="2"/>
  <c r="R350" i="2"/>
  <c r="S350" i="2"/>
  <c r="T350" i="2"/>
  <c r="U350" i="2"/>
  <c r="V350" i="2"/>
  <c r="W350" i="2"/>
  <c r="X350" i="2"/>
  <c r="E353" i="2"/>
  <c r="E352" i="2" s="1"/>
  <c r="F353" i="2"/>
  <c r="F352" i="2" s="1"/>
  <c r="G353" i="2"/>
  <c r="G352" i="2" s="1"/>
  <c r="H353" i="2"/>
  <c r="H352" i="2" s="1"/>
  <c r="I353" i="2"/>
  <c r="I352" i="2" s="1"/>
  <c r="J353" i="2"/>
  <c r="J352" i="2" s="1"/>
  <c r="K353" i="2"/>
  <c r="K352" i="2" s="1"/>
  <c r="L353" i="2"/>
  <c r="L352" i="2" s="1"/>
  <c r="M353" i="2"/>
  <c r="M352" i="2" s="1"/>
  <c r="N353" i="2"/>
  <c r="N352" i="2" s="1"/>
  <c r="O353" i="2"/>
  <c r="O352" i="2" s="1"/>
  <c r="P353" i="2"/>
  <c r="P352" i="2" s="1"/>
  <c r="Q353" i="2"/>
  <c r="Q352" i="2" s="1"/>
  <c r="R353" i="2"/>
  <c r="R352" i="2" s="1"/>
  <c r="S353" i="2"/>
  <c r="S352" i="2" s="1"/>
  <c r="T353" i="2"/>
  <c r="T352" i="2" s="1"/>
  <c r="U353" i="2"/>
  <c r="U352" i="2" s="1"/>
  <c r="V353" i="2"/>
  <c r="V352" i="2" s="1"/>
  <c r="W353" i="2"/>
  <c r="W352" i="2" s="1"/>
  <c r="X353" i="2"/>
  <c r="X352" i="2" s="1"/>
  <c r="E356" i="2"/>
  <c r="E355" i="2" s="1"/>
  <c r="F356" i="2"/>
  <c r="F355" i="2" s="1"/>
  <c r="G356" i="2"/>
  <c r="G355" i="2" s="1"/>
  <c r="H356" i="2"/>
  <c r="H355" i="2" s="1"/>
  <c r="I356" i="2"/>
  <c r="I355" i="2" s="1"/>
  <c r="J356" i="2"/>
  <c r="J355" i="2" s="1"/>
  <c r="K356" i="2"/>
  <c r="K355" i="2" s="1"/>
  <c r="L356" i="2"/>
  <c r="L355" i="2" s="1"/>
  <c r="M356" i="2"/>
  <c r="M355" i="2" s="1"/>
  <c r="N356" i="2"/>
  <c r="N355" i="2" s="1"/>
  <c r="O356" i="2"/>
  <c r="O355" i="2" s="1"/>
  <c r="P356" i="2"/>
  <c r="P355" i="2" s="1"/>
  <c r="Q356" i="2"/>
  <c r="Q355" i="2" s="1"/>
  <c r="R356" i="2"/>
  <c r="R355" i="2" s="1"/>
  <c r="S356" i="2"/>
  <c r="S355" i="2" s="1"/>
  <c r="T356" i="2"/>
  <c r="T355" i="2" s="1"/>
  <c r="U356" i="2"/>
  <c r="U355" i="2" s="1"/>
  <c r="V356" i="2"/>
  <c r="V355" i="2" s="1"/>
  <c r="W356" i="2"/>
  <c r="W355" i="2" s="1"/>
  <c r="X356" i="2"/>
  <c r="X355" i="2" s="1"/>
  <c r="E359" i="2"/>
  <c r="F359" i="2"/>
  <c r="G359" i="2"/>
  <c r="H359" i="2"/>
  <c r="I359" i="2"/>
  <c r="J359" i="2"/>
  <c r="K359" i="2"/>
  <c r="L359" i="2"/>
  <c r="M359" i="2"/>
  <c r="N359" i="2"/>
  <c r="O359" i="2"/>
  <c r="P359" i="2"/>
  <c r="Q359" i="2"/>
  <c r="R359" i="2"/>
  <c r="S359" i="2"/>
  <c r="T359" i="2"/>
  <c r="U359" i="2"/>
  <c r="V359" i="2"/>
  <c r="W359" i="2"/>
  <c r="X359" i="2"/>
  <c r="E361" i="2"/>
  <c r="F361" i="2"/>
  <c r="G361" i="2"/>
  <c r="H361" i="2"/>
  <c r="I361" i="2"/>
  <c r="J361" i="2"/>
  <c r="K361" i="2"/>
  <c r="L361" i="2"/>
  <c r="M361" i="2"/>
  <c r="N361" i="2"/>
  <c r="O361" i="2"/>
  <c r="P361" i="2"/>
  <c r="Q361" i="2"/>
  <c r="R361" i="2"/>
  <c r="S361" i="2"/>
  <c r="T361" i="2"/>
  <c r="U361" i="2"/>
  <c r="V361" i="2"/>
  <c r="W361" i="2"/>
  <c r="X361" i="2"/>
  <c r="E364" i="2"/>
  <c r="F364" i="2"/>
  <c r="G364" i="2"/>
  <c r="H364" i="2"/>
  <c r="I364" i="2"/>
  <c r="J364" i="2"/>
  <c r="K364" i="2"/>
  <c r="L364" i="2"/>
  <c r="M364" i="2"/>
  <c r="N364" i="2"/>
  <c r="O364" i="2"/>
  <c r="P364" i="2"/>
  <c r="Q364" i="2"/>
  <c r="R364" i="2"/>
  <c r="S364" i="2"/>
  <c r="T364" i="2"/>
  <c r="U364" i="2"/>
  <c r="V364" i="2"/>
  <c r="W364" i="2"/>
  <c r="X364" i="2"/>
  <c r="E366" i="2"/>
  <c r="F366" i="2"/>
  <c r="G366" i="2"/>
  <c r="H366" i="2"/>
  <c r="I366" i="2"/>
  <c r="J366" i="2"/>
  <c r="K366" i="2"/>
  <c r="L366" i="2"/>
  <c r="M366" i="2"/>
  <c r="N366" i="2"/>
  <c r="O366" i="2"/>
  <c r="P366" i="2"/>
  <c r="Q366" i="2"/>
  <c r="R366" i="2"/>
  <c r="S366" i="2"/>
  <c r="T366" i="2"/>
  <c r="U366" i="2"/>
  <c r="V366" i="2"/>
  <c r="W366" i="2"/>
  <c r="X366" i="2"/>
  <c r="E368" i="2"/>
  <c r="F368" i="2"/>
  <c r="G368" i="2"/>
  <c r="H368" i="2"/>
  <c r="I368" i="2"/>
  <c r="J368" i="2"/>
  <c r="K368" i="2"/>
  <c r="L368" i="2"/>
  <c r="M368" i="2"/>
  <c r="N368" i="2"/>
  <c r="O368" i="2"/>
  <c r="P368" i="2"/>
  <c r="Q368" i="2"/>
  <c r="R368" i="2"/>
  <c r="S368" i="2"/>
  <c r="T368" i="2"/>
  <c r="U368" i="2"/>
  <c r="V368" i="2"/>
  <c r="W368" i="2"/>
  <c r="X368" i="2"/>
  <c r="E370" i="2"/>
  <c r="F370" i="2"/>
  <c r="G370" i="2"/>
  <c r="H370" i="2"/>
  <c r="I370" i="2"/>
  <c r="J370" i="2"/>
  <c r="K370" i="2"/>
  <c r="L370" i="2"/>
  <c r="M370" i="2"/>
  <c r="N370" i="2"/>
  <c r="O370" i="2"/>
  <c r="P370" i="2"/>
  <c r="Q370" i="2"/>
  <c r="R370" i="2"/>
  <c r="S370" i="2"/>
  <c r="T370" i="2"/>
  <c r="U370" i="2"/>
  <c r="V370" i="2"/>
  <c r="W370" i="2"/>
  <c r="X370" i="2"/>
  <c r="E375" i="2"/>
  <c r="E374" i="2" s="1"/>
  <c r="F375" i="2"/>
  <c r="F374" i="2" s="1"/>
  <c r="G375" i="2"/>
  <c r="G374" i="2" s="1"/>
  <c r="H375" i="2"/>
  <c r="H374" i="2" s="1"/>
  <c r="I375" i="2"/>
  <c r="I374" i="2" s="1"/>
  <c r="J375" i="2"/>
  <c r="J374" i="2" s="1"/>
  <c r="K375" i="2"/>
  <c r="K374" i="2" s="1"/>
  <c r="L375" i="2"/>
  <c r="L374" i="2" s="1"/>
  <c r="M375" i="2"/>
  <c r="M374" i="2" s="1"/>
  <c r="N375" i="2"/>
  <c r="N374" i="2" s="1"/>
  <c r="O375" i="2"/>
  <c r="O374" i="2" s="1"/>
  <c r="P375" i="2"/>
  <c r="P374" i="2" s="1"/>
  <c r="Q375" i="2"/>
  <c r="Q374" i="2" s="1"/>
  <c r="R375" i="2"/>
  <c r="R374" i="2" s="1"/>
  <c r="S375" i="2"/>
  <c r="S374" i="2" s="1"/>
  <c r="T375" i="2"/>
  <c r="T374" i="2" s="1"/>
  <c r="U375" i="2"/>
  <c r="U374" i="2" s="1"/>
  <c r="V375" i="2"/>
  <c r="V374" i="2" s="1"/>
  <c r="W375" i="2"/>
  <c r="W374" i="2" s="1"/>
  <c r="X375" i="2"/>
  <c r="X374" i="2" s="1"/>
  <c r="E390" i="2"/>
  <c r="F390" i="2"/>
  <c r="G390" i="2"/>
  <c r="H390" i="2"/>
  <c r="I390" i="2"/>
  <c r="J390" i="2"/>
  <c r="K390" i="2"/>
  <c r="L390" i="2"/>
  <c r="M390" i="2"/>
  <c r="N390" i="2"/>
  <c r="O390" i="2"/>
  <c r="P390" i="2"/>
  <c r="Q390" i="2"/>
  <c r="R390" i="2"/>
  <c r="S390" i="2"/>
  <c r="T390" i="2"/>
  <c r="U390" i="2"/>
  <c r="V390" i="2"/>
  <c r="W390" i="2"/>
  <c r="X390" i="2"/>
  <c r="E392" i="2"/>
  <c r="F392" i="2"/>
  <c r="G392" i="2"/>
  <c r="H392" i="2"/>
  <c r="I392" i="2"/>
  <c r="J392" i="2"/>
  <c r="K392" i="2"/>
  <c r="L392" i="2"/>
  <c r="M392" i="2"/>
  <c r="N392" i="2"/>
  <c r="O392" i="2"/>
  <c r="P392" i="2"/>
  <c r="Q392" i="2"/>
  <c r="R392" i="2"/>
  <c r="S392" i="2"/>
  <c r="T392" i="2"/>
  <c r="U392" i="2"/>
  <c r="V392" i="2"/>
  <c r="W392" i="2"/>
  <c r="X392" i="2"/>
  <c r="E395" i="2"/>
  <c r="F395" i="2"/>
  <c r="G395" i="2"/>
  <c r="H395" i="2"/>
  <c r="I395" i="2"/>
  <c r="J395" i="2"/>
  <c r="K395" i="2"/>
  <c r="L395" i="2"/>
  <c r="M395" i="2"/>
  <c r="N395" i="2"/>
  <c r="O395" i="2"/>
  <c r="P395" i="2"/>
  <c r="Q395" i="2"/>
  <c r="R395" i="2"/>
  <c r="S395" i="2"/>
  <c r="T395" i="2"/>
  <c r="U395" i="2"/>
  <c r="V395" i="2"/>
  <c r="W395" i="2"/>
  <c r="X395" i="2"/>
  <c r="E397" i="2"/>
  <c r="F397" i="2"/>
  <c r="G397" i="2"/>
  <c r="H397" i="2"/>
  <c r="I397" i="2"/>
  <c r="J397" i="2"/>
  <c r="K397" i="2"/>
  <c r="L397" i="2"/>
  <c r="M397" i="2"/>
  <c r="N397" i="2"/>
  <c r="O397" i="2"/>
  <c r="P397" i="2"/>
  <c r="Q397" i="2"/>
  <c r="R397" i="2"/>
  <c r="S397" i="2"/>
  <c r="T397" i="2"/>
  <c r="U397" i="2"/>
  <c r="V397" i="2"/>
  <c r="W397" i="2"/>
  <c r="X397" i="2"/>
  <c r="E399" i="2"/>
  <c r="F399" i="2"/>
  <c r="G399" i="2"/>
  <c r="H399" i="2"/>
  <c r="I399" i="2"/>
  <c r="J399" i="2"/>
  <c r="K399" i="2"/>
  <c r="L399" i="2"/>
  <c r="M399" i="2"/>
  <c r="N399" i="2"/>
  <c r="O399" i="2"/>
  <c r="P399" i="2"/>
  <c r="Q399" i="2"/>
  <c r="R399" i="2"/>
  <c r="S399" i="2"/>
  <c r="T399" i="2"/>
  <c r="U399" i="2"/>
  <c r="V399" i="2"/>
  <c r="W399" i="2"/>
  <c r="X399" i="2"/>
  <c r="E402" i="2"/>
  <c r="F402" i="2"/>
  <c r="G402" i="2"/>
  <c r="H402" i="2"/>
  <c r="I402" i="2"/>
  <c r="J402" i="2"/>
  <c r="K402" i="2"/>
  <c r="L402" i="2"/>
  <c r="M402" i="2"/>
  <c r="N402" i="2"/>
  <c r="O402" i="2"/>
  <c r="P402" i="2"/>
  <c r="Q402" i="2"/>
  <c r="R402" i="2"/>
  <c r="S402" i="2"/>
  <c r="T402" i="2"/>
  <c r="U402" i="2"/>
  <c r="V402" i="2"/>
  <c r="W402" i="2"/>
  <c r="X402" i="2"/>
  <c r="E404" i="2"/>
  <c r="F404" i="2"/>
  <c r="G404" i="2"/>
  <c r="H404" i="2"/>
  <c r="I404" i="2"/>
  <c r="J404" i="2"/>
  <c r="K404" i="2"/>
  <c r="L404" i="2"/>
  <c r="M404" i="2"/>
  <c r="N404" i="2"/>
  <c r="O404" i="2"/>
  <c r="P404" i="2"/>
  <c r="Q404" i="2"/>
  <c r="R404" i="2"/>
  <c r="S404" i="2"/>
  <c r="T404" i="2"/>
  <c r="U404" i="2"/>
  <c r="V404" i="2"/>
  <c r="W404" i="2"/>
  <c r="X404" i="2"/>
  <c r="E406" i="2"/>
  <c r="F406" i="2"/>
  <c r="G406" i="2"/>
  <c r="H406" i="2"/>
  <c r="I406" i="2"/>
  <c r="J406" i="2"/>
  <c r="K406" i="2"/>
  <c r="L406" i="2"/>
  <c r="M406" i="2"/>
  <c r="N406" i="2"/>
  <c r="O406" i="2"/>
  <c r="P406" i="2"/>
  <c r="Q406" i="2"/>
  <c r="R406" i="2"/>
  <c r="S406" i="2"/>
  <c r="T406" i="2"/>
  <c r="U406" i="2"/>
  <c r="V406" i="2"/>
  <c r="W406" i="2"/>
  <c r="X406" i="2"/>
  <c r="E409" i="2"/>
  <c r="F409" i="2"/>
  <c r="G409" i="2"/>
  <c r="H409" i="2"/>
  <c r="I409" i="2"/>
  <c r="J409" i="2"/>
  <c r="K409" i="2"/>
  <c r="L409" i="2"/>
  <c r="M409" i="2"/>
  <c r="N409" i="2"/>
  <c r="O409" i="2"/>
  <c r="P409" i="2"/>
  <c r="Q409" i="2"/>
  <c r="R409" i="2"/>
  <c r="S409" i="2"/>
  <c r="T409" i="2"/>
  <c r="U409" i="2"/>
  <c r="V409" i="2"/>
  <c r="W409" i="2"/>
  <c r="X409" i="2"/>
  <c r="E411" i="2"/>
  <c r="F411" i="2"/>
  <c r="G411" i="2"/>
  <c r="H411" i="2"/>
  <c r="I411" i="2"/>
  <c r="J411" i="2"/>
  <c r="K411" i="2"/>
  <c r="L411" i="2"/>
  <c r="M411" i="2"/>
  <c r="N411" i="2"/>
  <c r="O411" i="2"/>
  <c r="P411" i="2"/>
  <c r="Q411" i="2"/>
  <c r="R411" i="2"/>
  <c r="S411" i="2"/>
  <c r="T411" i="2"/>
  <c r="U411" i="2"/>
  <c r="V411" i="2"/>
  <c r="W411" i="2"/>
  <c r="X411" i="2"/>
  <c r="E413" i="2"/>
  <c r="F413" i="2"/>
  <c r="G413" i="2"/>
  <c r="H413" i="2"/>
  <c r="I413" i="2"/>
  <c r="J413" i="2"/>
  <c r="K413" i="2"/>
  <c r="L413" i="2"/>
  <c r="M413" i="2"/>
  <c r="N413" i="2"/>
  <c r="O413" i="2"/>
  <c r="P413" i="2"/>
  <c r="Q413" i="2"/>
  <c r="R413" i="2"/>
  <c r="S413" i="2"/>
  <c r="T413" i="2"/>
  <c r="U413" i="2"/>
  <c r="V413" i="2"/>
  <c r="W413" i="2"/>
  <c r="X413" i="2"/>
  <c r="E416" i="2"/>
  <c r="E415" i="2" s="1"/>
  <c r="F416" i="2"/>
  <c r="F415" i="2" s="1"/>
  <c r="G416" i="2"/>
  <c r="G415" i="2" s="1"/>
  <c r="H416" i="2"/>
  <c r="H415" i="2" s="1"/>
  <c r="I416" i="2"/>
  <c r="I415" i="2" s="1"/>
  <c r="J416" i="2"/>
  <c r="J415" i="2" s="1"/>
  <c r="K416" i="2"/>
  <c r="K415" i="2" s="1"/>
  <c r="L416" i="2"/>
  <c r="L415" i="2" s="1"/>
  <c r="M416" i="2"/>
  <c r="M415" i="2" s="1"/>
  <c r="N416" i="2"/>
  <c r="N415" i="2" s="1"/>
  <c r="O416" i="2"/>
  <c r="O415" i="2" s="1"/>
  <c r="P416" i="2"/>
  <c r="P415" i="2" s="1"/>
  <c r="Q416" i="2"/>
  <c r="Q415" i="2" s="1"/>
  <c r="R416" i="2"/>
  <c r="R415" i="2" s="1"/>
  <c r="S416" i="2"/>
  <c r="S415" i="2" s="1"/>
  <c r="T416" i="2"/>
  <c r="T415" i="2" s="1"/>
  <c r="U416" i="2"/>
  <c r="U415" i="2" s="1"/>
  <c r="V416" i="2"/>
  <c r="V415" i="2" s="1"/>
  <c r="W416" i="2"/>
  <c r="W415" i="2" s="1"/>
  <c r="X416" i="2"/>
  <c r="X415" i="2" s="1"/>
  <c r="E420" i="2"/>
  <c r="F420" i="2"/>
  <c r="G420" i="2"/>
  <c r="H420" i="2"/>
  <c r="I420" i="2"/>
  <c r="J420" i="2"/>
  <c r="K420" i="2"/>
  <c r="L420" i="2"/>
  <c r="M420" i="2"/>
  <c r="N420" i="2"/>
  <c r="O420" i="2"/>
  <c r="P420" i="2"/>
  <c r="Q420" i="2"/>
  <c r="R420" i="2"/>
  <c r="S420" i="2"/>
  <c r="T420" i="2"/>
  <c r="U420" i="2"/>
  <c r="V420" i="2"/>
  <c r="W420" i="2"/>
  <c r="X420" i="2"/>
  <c r="E422" i="2"/>
  <c r="F422" i="2"/>
  <c r="G422" i="2"/>
  <c r="H422" i="2"/>
  <c r="I422" i="2"/>
  <c r="J422" i="2"/>
  <c r="K422" i="2"/>
  <c r="L422" i="2"/>
  <c r="M422" i="2"/>
  <c r="N422" i="2"/>
  <c r="O422" i="2"/>
  <c r="P422" i="2"/>
  <c r="Q422" i="2"/>
  <c r="R422" i="2"/>
  <c r="R419" i="2" s="1"/>
  <c r="S422" i="2"/>
  <c r="T422" i="2"/>
  <c r="U422" i="2"/>
  <c r="V422" i="2"/>
  <c r="W422" i="2"/>
  <c r="X422" i="2"/>
  <c r="E425" i="2"/>
  <c r="F425" i="2"/>
  <c r="G425" i="2"/>
  <c r="H425" i="2"/>
  <c r="I425" i="2"/>
  <c r="J425" i="2"/>
  <c r="K425" i="2"/>
  <c r="L425" i="2"/>
  <c r="M425" i="2"/>
  <c r="N425" i="2"/>
  <c r="O425" i="2"/>
  <c r="P425" i="2"/>
  <c r="Q425" i="2"/>
  <c r="R425" i="2"/>
  <c r="S425" i="2"/>
  <c r="T425" i="2"/>
  <c r="U425" i="2"/>
  <c r="V425" i="2"/>
  <c r="W425" i="2"/>
  <c r="X425" i="2"/>
  <c r="E427" i="2"/>
  <c r="F427" i="2"/>
  <c r="G427" i="2"/>
  <c r="H427" i="2"/>
  <c r="I427" i="2"/>
  <c r="J427" i="2"/>
  <c r="K427" i="2"/>
  <c r="L427" i="2"/>
  <c r="M427" i="2"/>
  <c r="N427" i="2"/>
  <c r="O427" i="2"/>
  <c r="P427" i="2"/>
  <c r="Q427" i="2"/>
  <c r="R427" i="2"/>
  <c r="S427" i="2"/>
  <c r="T427" i="2"/>
  <c r="U427" i="2"/>
  <c r="V427" i="2"/>
  <c r="W427" i="2"/>
  <c r="X427" i="2"/>
  <c r="E431" i="2"/>
  <c r="F431" i="2"/>
  <c r="G431" i="2"/>
  <c r="H431" i="2"/>
  <c r="I431" i="2"/>
  <c r="J431" i="2"/>
  <c r="K431" i="2"/>
  <c r="L431" i="2"/>
  <c r="M431" i="2"/>
  <c r="N431" i="2"/>
  <c r="O431" i="2"/>
  <c r="P431" i="2"/>
  <c r="Q431" i="2"/>
  <c r="R431" i="2"/>
  <c r="S431" i="2"/>
  <c r="T431" i="2"/>
  <c r="U431" i="2"/>
  <c r="V431" i="2"/>
  <c r="W431" i="2"/>
  <c r="X431" i="2"/>
  <c r="E433" i="2"/>
  <c r="F433" i="2"/>
  <c r="G433" i="2"/>
  <c r="H433" i="2"/>
  <c r="I433" i="2"/>
  <c r="J433" i="2"/>
  <c r="K433" i="2"/>
  <c r="L433" i="2"/>
  <c r="M433" i="2"/>
  <c r="N433" i="2"/>
  <c r="O433" i="2"/>
  <c r="P433" i="2"/>
  <c r="Q433" i="2"/>
  <c r="R433" i="2"/>
  <c r="S433" i="2"/>
  <c r="T433" i="2"/>
  <c r="U433" i="2"/>
  <c r="V433" i="2"/>
  <c r="W433" i="2"/>
  <c r="X433" i="2"/>
  <c r="E435" i="2"/>
  <c r="F435" i="2"/>
  <c r="G435" i="2"/>
  <c r="H435" i="2"/>
  <c r="I435" i="2"/>
  <c r="J435" i="2"/>
  <c r="K435" i="2"/>
  <c r="L435" i="2"/>
  <c r="M435" i="2"/>
  <c r="N435" i="2"/>
  <c r="O435" i="2"/>
  <c r="P435" i="2"/>
  <c r="Q435" i="2"/>
  <c r="R435" i="2"/>
  <c r="S435" i="2"/>
  <c r="T435" i="2"/>
  <c r="U435" i="2"/>
  <c r="V435" i="2"/>
  <c r="W435" i="2"/>
  <c r="X435" i="2"/>
  <c r="E437" i="2"/>
  <c r="F437" i="2"/>
  <c r="G437" i="2"/>
  <c r="H437" i="2"/>
  <c r="I437" i="2"/>
  <c r="J437" i="2"/>
  <c r="K437" i="2"/>
  <c r="L437" i="2"/>
  <c r="M437" i="2"/>
  <c r="N437" i="2"/>
  <c r="O437" i="2"/>
  <c r="P437" i="2"/>
  <c r="Q437" i="2"/>
  <c r="R437" i="2"/>
  <c r="S437" i="2"/>
  <c r="T437" i="2"/>
  <c r="U437" i="2"/>
  <c r="V437" i="2"/>
  <c r="W437" i="2"/>
  <c r="X437" i="2"/>
  <c r="E440" i="2"/>
  <c r="E439" i="2" s="1"/>
  <c r="F440" i="2"/>
  <c r="F439" i="2" s="1"/>
  <c r="G440" i="2"/>
  <c r="G439" i="2" s="1"/>
  <c r="H440" i="2"/>
  <c r="H439" i="2" s="1"/>
  <c r="I440" i="2"/>
  <c r="I439" i="2" s="1"/>
  <c r="J440" i="2"/>
  <c r="J439" i="2" s="1"/>
  <c r="K440" i="2"/>
  <c r="K439" i="2" s="1"/>
  <c r="L440" i="2"/>
  <c r="L439" i="2" s="1"/>
  <c r="M440" i="2"/>
  <c r="M439" i="2" s="1"/>
  <c r="N440" i="2"/>
  <c r="N439" i="2" s="1"/>
  <c r="O440" i="2"/>
  <c r="O439" i="2" s="1"/>
  <c r="P440" i="2"/>
  <c r="P439" i="2" s="1"/>
  <c r="Q440" i="2"/>
  <c r="Q439" i="2" s="1"/>
  <c r="R440" i="2"/>
  <c r="R439" i="2" s="1"/>
  <c r="S440" i="2"/>
  <c r="S439" i="2" s="1"/>
  <c r="T440" i="2"/>
  <c r="T439" i="2" s="1"/>
  <c r="U440" i="2"/>
  <c r="U439" i="2" s="1"/>
  <c r="V440" i="2"/>
  <c r="V439" i="2" s="1"/>
  <c r="W440" i="2"/>
  <c r="W439" i="2" s="1"/>
  <c r="X440" i="2"/>
  <c r="X439" i="2" s="1"/>
  <c r="E443" i="2"/>
  <c r="E442" i="2" s="1"/>
  <c r="F443" i="2"/>
  <c r="F442" i="2" s="1"/>
  <c r="G443" i="2"/>
  <c r="G442" i="2" s="1"/>
  <c r="H443" i="2"/>
  <c r="H442" i="2" s="1"/>
  <c r="I443" i="2"/>
  <c r="I442" i="2" s="1"/>
  <c r="J443" i="2"/>
  <c r="J442" i="2" s="1"/>
  <c r="K443" i="2"/>
  <c r="K442" i="2" s="1"/>
  <c r="L443" i="2"/>
  <c r="L442" i="2" s="1"/>
  <c r="M443" i="2"/>
  <c r="M442" i="2" s="1"/>
  <c r="N443" i="2"/>
  <c r="N442" i="2" s="1"/>
  <c r="O443" i="2"/>
  <c r="O442" i="2" s="1"/>
  <c r="P443" i="2"/>
  <c r="P442" i="2" s="1"/>
  <c r="Q443" i="2"/>
  <c r="Q442" i="2" s="1"/>
  <c r="R443" i="2"/>
  <c r="R442" i="2" s="1"/>
  <c r="S443" i="2"/>
  <c r="S442" i="2" s="1"/>
  <c r="T443" i="2"/>
  <c r="T442" i="2" s="1"/>
  <c r="U443" i="2"/>
  <c r="U442" i="2" s="1"/>
  <c r="V443" i="2"/>
  <c r="V442" i="2" s="1"/>
  <c r="W443" i="2"/>
  <c r="W442" i="2" s="1"/>
  <c r="X443" i="2"/>
  <c r="X442" i="2" s="1"/>
  <c r="E446" i="2"/>
  <c r="F446" i="2"/>
  <c r="G446" i="2"/>
  <c r="H446" i="2"/>
  <c r="I446" i="2"/>
  <c r="J446" i="2"/>
  <c r="K446" i="2"/>
  <c r="L446" i="2"/>
  <c r="M446" i="2"/>
  <c r="N446" i="2"/>
  <c r="O446" i="2"/>
  <c r="P446" i="2"/>
  <c r="Q446" i="2"/>
  <c r="R446" i="2"/>
  <c r="S446" i="2"/>
  <c r="T446" i="2"/>
  <c r="U446" i="2"/>
  <c r="V446" i="2"/>
  <c r="W446" i="2"/>
  <c r="X446" i="2"/>
  <c r="E448" i="2"/>
  <c r="F448" i="2"/>
  <c r="G448" i="2"/>
  <c r="H448" i="2"/>
  <c r="I448" i="2"/>
  <c r="J448" i="2"/>
  <c r="K448" i="2"/>
  <c r="L448" i="2"/>
  <c r="M448" i="2"/>
  <c r="N448" i="2"/>
  <c r="O448" i="2"/>
  <c r="P448" i="2"/>
  <c r="Q448" i="2"/>
  <c r="R448" i="2"/>
  <c r="S448" i="2"/>
  <c r="T448" i="2"/>
  <c r="U448" i="2"/>
  <c r="V448" i="2"/>
  <c r="W448" i="2"/>
  <c r="X448" i="2"/>
  <c r="E452" i="2"/>
  <c r="E451" i="2" s="1"/>
  <c r="E450" i="2" s="1"/>
  <c r="F452" i="2"/>
  <c r="F451" i="2" s="1"/>
  <c r="F450" i="2" s="1"/>
  <c r="G452" i="2"/>
  <c r="G451" i="2" s="1"/>
  <c r="G450" i="2" s="1"/>
  <c r="H452" i="2"/>
  <c r="H451" i="2" s="1"/>
  <c r="H450" i="2" s="1"/>
  <c r="I452" i="2"/>
  <c r="I451" i="2" s="1"/>
  <c r="I450" i="2" s="1"/>
  <c r="J452" i="2"/>
  <c r="J451" i="2" s="1"/>
  <c r="J450" i="2" s="1"/>
  <c r="K452" i="2"/>
  <c r="K451" i="2" s="1"/>
  <c r="K450" i="2" s="1"/>
  <c r="L452" i="2"/>
  <c r="L451" i="2" s="1"/>
  <c r="L450" i="2" s="1"/>
  <c r="M452" i="2"/>
  <c r="M451" i="2" s="1"/>
  <c r="M450" i="2" s="1"/>
  <c r="N452" i="2"/>
  <c r="N451" i="2" s="1"/>
  <c r="N450" i="2" s="1"/>
  <c r="O452" i="2"/>
  <c r="O451" i="2" s="1"/>
  <c r="O450" i="2" s="1"/>
  <c r="P452" i="2"/>
  <c r="P451" i="2" s="1"/>
  <c r="P450" i="2" s="1"/>
  <c r="Q452" i="2"/>
  <c r="Q451" i="2" s="1"/>
  <c r="Q450" i="2" s="1"/>
  <c r="R452" i="2"/>
  <c r="R451" i="2" s="1"/>
  <c r="R450" i="2" s="1"/>
  <c r="S452" i="2"/>
  <c r="S451" i="2" s="1"/>
  <c r="S450" i="2" s="1"/>
  <c r="T452" i="2"/>
  <c r="T451" i="2" s="1"/>
  <c r="T450" i="2" s="1"/>
  <c r="U452" i="2"/>
  <c r="U451" i="2" s="1"/>
  <c r="U450" i="2" s="1"/>
  <c r="V452" i="2"/>
  <c r="V451" i="2" s="1"/>
  <c r="V450" i="2" s="1"/>
  <c r="W452" i="2"/>
  <c r="W451" i="2" s="1"/>
  <c r="W450" i="2" s="1"/>
  <c r="X452" i="2"/>
  <c r="X451" i="2" s="1"/>
  <c r="X450" i="2" s="1"/>
  <c r="E456" i="2"/>
  <c r="F456" i="2"/>
  <c r="G456" i="2"/>
  <c r="H456" i="2"/>
  <c r="I456" i="2"/>
  <c r="J456" i="2"/>
  <c r="K456" i="2"/>
  <c r="L456" i="2"/>
  <c r="M456" i="2"/>
  <c r="N456" i="2"/>
  <c r="O456" i="2"/>
  <c r="P456" i="2"/>
  <c r="Q456" i="2"/>
  <c r="R456" i="2"/>
  <c r="S456" i="2"/>
  <c r="T456" i="2"/>
  <c r="U456" i="2"/>
  <c r="V456" i="2"/>
  <c r="W456" i="2"/>
  <c r="X456" i="2"/>
  <c r="E458" i="2"/>
  <c r="F458" i="2"/>
  <c r="G458" i="2"/>
  <c r="H458" i="2"/>
  <c r="I458" i="2"/>
  <c r="J458" i="2"/>
  <c r="K458" i="2"/>
  <c r="L458" i="2"/>
  <c r="M458" i="2"/>
  <c r="N458" i="2"/>
  <c r="O458" i="2"/>
  <c r="P458" i="2"/>
  <c r="Q458" i="2"/>
  <c r="R458" i="2"/>
  <c r="S458" i="2"/>
  <c r="T458" i="2"/>
  <c r="U458" i="2"/>
  <c r="V458" i="2"/>
  <c r="W458" i="2"/>
  <c r="X458" i="2"/>
  <c r="E462" i="2"/>
  <c r="E461" i="2" s="1"/>
  <c r="F462" i="2"/>
  <c r="F461" i="2" s="1"/>
  <c r="G462" i="2"/>
  <c r="G461" i="2" s="1"/>
  <c r="H462" i="2"/>
  <c r="H461" i="2" s="1"/>
  <c r="I462" i="2"/>
  <c r="I461" i="2" s="1"/>
  <c r="J462" i="2"/>
  <c r="J461" i="2" s="1"/>
  <c r="K462" i="2"/>
  <c r="K461" i="2" s="1"/>
  <c r="L462" i="2"/>
  <c r="L461" i="2" s="1"/>
  <c r="M462" i="2"/>
  <c r="M461" i="2" s="1"/>
  <c r="N462" i="2"/>
  <c r="N461" i="2" s="1"/>
  <c r="O462" i="2"/>
  <c r="O461" i="2" s="1"/>
  <c r="P462" i="2"/>
  <c r="P461" i="2" s="1"/>
  <c r="Q462" i="2"/>
  <c r="Q461" i="2" s="1"/>
  <c r="R462" i="2"/>
  <c r="R461" i="2" s="1"/>
  <c r="S462" i="2"/>
  <c r="S461" i="2" s="1"/>
  <c r="T462" i="2"/>
  <c r="T461" i="2" s="1"/>
  <c r="U462" i="2"/>
  <c r="U461" i="2" s="1"/>
  <c r="V462" i="2"/>
  <c r="V461" i="2" s="1"/>
  <c r="W462" i="2"/>
  <c r="W461" i="2" s="1"/>
  <c r="X462" i="2"/>
  <c r="X461" i="2" s="1"/>
  <c r="E465" i="2"/>
  <c r="E464" i="2" s="1"/>
  <c r="F465" i="2"/>
  <c r="F464" i="2" s="1"/>
  <c r="F460" i="2" s="1"/>
  <c r="G465" i="2"/>
  <c r="G464" i="2" s="1"/>
  <c r="H465" i="2"/>
  <c r="H464" i="2" s="1"/>
  <c r="I465" i="2"/>
  <c r="I464" i="2" s="1"/>
  <c r="J465" i="2"/>
  <c r="J464" i="2" s="1"/>
  <c r="K465" i="2"/>
  <c r="K464" i="2" s="1"/>
  <c r="L465" i="2"/>
  <c r="L464" i="2" s="1"/>
  <c r="M465" i="2"/>
  <c r="M464" i="2" s="1"/>
  <c r="N465" i="2"/>
  <c r="N464" i="2" s="1"/>
  <c r="N460" i="2" s="1"/>
  <c r="O465" i="2"/>
  <c r="O464" i="2" s="1"/>
  <c r="P465" i="2"/>
  <c r="P464" i="2" s="1"/>
  <c r="Q465" i="2"/>
  <c r="Q464" i="2" s="1"/>
  <c r="R465" i="2"/>
  <c r="R464" i="2" s="1"/>
  <c r="S465" i="2"/>
  <c r="S464" i="2" s="1"/>
  <c r="T465" i="2"/>
  <c r="T464" i="2" s="1"/>
  <c r="U465" i="2"/>
  <c r="U464" i="2" s="1"/>
  <c r="V465" i="2"/>
  <c r="V464" i="2" s="1"/>
  <c r="V460" i="2" s="1"/>
  <c r="W465" i="2"/>
  <c r="W464" i="2" s="1"/>
  <c r="X465" i="2"/>
  <c r="X464" i="2" s="1"/>
  <c r="E469" i="2"/>
  <c r="F469" i="2"/>
  <c r="G469" i="2"/>
  <c r="H469" i="2"/>
  <c r="I469" i="2"/>
  <c r="J469" i="2"/>
  <c r="K469" i="2"/>
  <c r="L469" i="2"/>
  <c r="M469" i="2"/>
  <c r="N469" i="2"/>
  <c r="O469" i="2"/>
  <c r="P469" i="2"/>
  <c r="Q469" i="2"/>
  <c r="R469" i="2"/>
  <c r="S469" i="2"/>
  <c r="T469" i="2"/>
  <c r="U469" i="2"/>
  <c r="V469" i="2"/>
  <c r="W469" i="2"/>
  <c r="X469" i="2"/>
  <c r="E471" i="2"/>
  <c r="F471" i="2"/>
  <c r="G471" i="2"/>
  <c r="H471" i="2"/>
  <c r="I471" i="2"/>
  <c r="J471" i="2"/>
  <c r="K471" i="2"/>
  <c r="L471" i="2"/>
  <c r="M471" i="2"/>
  <c r="N471" i="2"/>
  <c r="O471" i="2"/>
  <c r="P471" i="2"/>
  <c r="Q471" i="2"/>
  <c r="R471" i="2"/>
  <c r="S471" i="2"/>
  <c r="T471" i="2"/>
  <c r="U471" i="2"/>
  <c r="V471" i="2"/>
  <c r="W471" i="2"/>
  <c r="X471" i="2"/>
  <c r="E474" i="2"/>
  <c r="E473" i="2" s="1"/>
  <c r="F474" i="2"/>
  <c r="F473" i="2" s="1"/>
  <c r="G474" i="2"/>
  <c r="G473" i="2" s="1"/>
  <c r="H474" i="2"/>
  <c r="H473" i="2" s="1"/>
  <c r="I474" i="2"/>
  <c r="I473" i="2" s="1"/>
  <c r="J474" i="2"/>
  <c r="J473" i="2" s="1"/>
  <c r="K474" i="2"/>
  <c r="K473" i="2" s="1"/>
  <c r="L474" i="2"/>
  <c r="L473" i="2" s="1"/>
  <c r="M474" i="2"/>
  <c r="M473" i="2" s="1"/>
  <c r="N474" i="2"/>
  <c r="N473" i="2" s="1"/>
  <c r="O474" i="2"/>
  <c r="O473" i="2" s="1"/>
  <c r="P474" i="2"/>
  <c r="P473" i="2" s="1"/>
  <c r="Q474" i="2"/>
  <c r="Q473" i="2" s="1"/>
  <c r="R474" i="2"/>
  <c r="R473" i="2" s="1"/>
  <c r="S474" i="2"/>
  <c r="S473" i="2" s="1"/>
  <c r="T474" i="2"/>
  <c r="T473" i="2" s="1"/>
  <c r="U474" i="2"/>
  <c r="U473" i="2" s="1"/>
  <c r="V474" i="2"/>
  <c r="V473" i="2" s="1"/>
  <c r="W474" i="2"/>
  <c r="W473" i="2" s="1"/>
  <c r="X474" i="2"/>
  <c r="X473" i="2" s="1"/>
  <c r="E477" i="2"/>
  <c r="E476" i="2" s="1"/>
  <c r="F477" i="2"/>
  <c r="F476" i="2" s="1"/>
  <c r="G477" i="2"/>
  <c r="G476" i="2" s="1"/>
  <c r="H477" i="2"/>
  <c r="H476" i="2" s="1"/>
  <c r="I477" i="2"/>
  <c r="I476" i="2" s="1"/>
  <c r="J477" i="2"/>
  <c r="J476" i="2" s="1"/>
  <c r="K477" i="2"/>
  <c r="K476" i="2" s="1"/>
  <c r="L477" i="2"/>
  <c r="L476" i="2" s="1"/>
  <c r="M477" i="2"/>
  <c r="M476" i="2" s="1"/>
  <c r="N477" i="2"/>
  <c r="N476" i="2" s="1"/>
  <c r="O477" i="2"/>
  <c r="O476" i="2" s="1"/>
  <c r="P477" i="2"/>
  <c r="P476" i="2" s="1"/>
  <c r="Q477" i="2"/>
  <c r="Q476" i="2" s="1"/>
  <c r="R477" i="2"/>
  <c r="R476" i="2" s="1"/>
  <c r="S477" i="2"/>
  <c r="S476" i="2" s="1"/>
  <c r="T477" i="2"/>
  <c r="T476" i="2" s="1"/>
  <c r="U477" i="2"/>
  <c r="U476" i="2" s="1"/>
  <c r="V477" i="2"/>
  <c r="V476" i="2" s="1"/>
  <c r="W477" i="2"/>
  <c r="W476" i="2" s="1"/>
  <c r="X477" i="2"/>
  <c r="X476" i="2" s="1"/>
  <c r="E481" i="2"/>
  <c r="E480" i="2" s="1"/>
  <c r="F481" i="2"/>
  <c r="F480" i="2" s="1"/>
  <c r="G481" i="2"/>
  <c r="G480" i="2" s="1"/>
  <c r="H481" i="2"/>
  <c r="H480" i="2" s="1"/>
  <c r="I481" i="2"/>
  <c r="I480" i="2" s="1"/>
  <c r="J481" i="2"/>
  <c r="J480" i="2" s="1"/>
  <c r="K481" i="2"/>
  <c r="K480" i="2" s="1"/>
  <c r="L481" i="2"/>
  <c r="L480" i="2" s="1"/>
  <c r="M481" i="2"/>
  <c r="M480" i="2" s="1"/>
  <c r="N481" i="2"/>
  <c r="N480" i="2" s="1"/>
  <c r="O481" i="2"/>
  <c r="O480" i="2" s="1"/>
  <c r="P481" i="2"/>
  <c r="P480" i="2" s="1"/>
  <c r="Q481" i="2"/>
  <c r="Q480" i="2" s="1"/>
  <c r="R481" i="2"/>
  <c r="R480" i="2" s="1"/>
  <c r="S481" i="2"/>
  <c r="S480" i="2" s="1"/>
  <c r="T481" i="2"/>
  <c r="T480" i="2" s="1"/>
  <c r="U481" i="2"/>
  <c r="U480" i="2" s="1"/>
  <c r="V481" i="2"/>
  <c r="V480" i="2" s="1"/>
  <c r="W481" i="2"/>
  <c r="W480" i="2" s="1"/>
  <c r="X481" i="2"/>
  <c r="X480" i="2" s="1"/>
  <c r="E486" i="2"/>
  <c r="E485" i="2" s="1"/>
  <c r="F486" i="2"/>
  <c r="F485" i="2" s="1"/>
  <c r="G486" i="2"/>
  <c r="G485" i="2" s="1"/>
  <c r="H486" i="2"/>
  <c r="H485" i="2" s="1"/>
  <c r="I486" i="2"/>
  <c r="I485" i="2" s="1"/>
  <c r="J486" i="2"/>
  <c r="J485" i="2" s="1"/>
  <c r="K486" i="2"/>
  <c r="K485" i="2" s="1"/>
  <c r="L486" i="2"/>
  <c r="L485" i="2" s="1"/>
  <c r="M486" i="2"/>
  <c r="M485" i="2" s="1"/>
  <c r="N486" i="2"/>
  <c r="N485" i="2" s="1"/>
  <c r="O486" i="2"/>
  <c r="O485" i="2" s="1"/>
  <c r="P486" i="2"/>
  <c r="P485" i="2" s="1"/>
  <c r="Q486" i="2"/>
  <c r="Q485" i="2" s="1"/>
  <c r="R486" i="2"/>
  <c r="R485" i="2" s="1"/>
  <c r="S486" i="2"/>
  <c r="S485" i="2" s="1"/>
  <c r="T486" i="2"/>
  <c r="T485" i="2" s="1"/>
  <c r="U486" i="2"/>
  <c r="U485" i="2" s="1"/>
  <c r="V486" i="2"/>
  <c r="V485" i="2" s="1"/>
  <c r="W486" i="2"/>
  <c r="W485" i="2" s="1"/>
  <c r="X486" i="2"/>
  <c r="X485" i="2" s="1"/>
  <c r="E493" i="2"/>
  <c r="F493" i="2"/>
  <c r="G493" i="2"/>
  <c r="H493" i="2"/>
  <c r="I493" i="2"/>
  <c r="J493" i="2"/>
  <c r="K493" i="2"/>
  <c r="L493" i="2"/>
  <c r="M493" i="2"/>
  <c r="N493" i="2"/>
  <c r="O493" i="2"/>
  <c r="P493" i="2"/>
  <c r="Q493" i="2"/>
  <c r="R493" i="2"/>
  <c r="S493" i="2"/>
  <c r="T493" i="2"/>
  <c r="U493" i="2"/>
  <c r="V493" i="2"/>
  <c r="W493" i="2"/>
  <c r="X493" i="2"/>
  <c r="E495" i="2"/>
  <c r="F495" i="2"/>
  <c r="G495" i="2"/>
  <c r="H495" i="2"/>
  <c r="I495" i="2"/>
  <c r="J495" i="2"/>
  <c r="K495" i="2"/>
  <c r="L495" i="2"/>
  <c r="M495" i="2"/>
  <c r="N495" i="2"/>
  <c r="O495" i="2"/>
  <c r="P495" i="2"/>
  <c r="Q495" i="2"/>
  <c r="R495" i="2"/>
  <c r="S495" i="2"/>
  <c r="T495" i="2"/>
  <c r="U495" i="2"/>
  <c r="V495" i="2"/>
  <c r="W495" i="2"/>
  <c r="X495" i="2"/>
  <c r="E498" i="2"/>
  <c r="E497" i="2" s="1"/>
  <c r="F498" i="2"/>
  <c r="F497" i="2" s="1"/>
  <c r="G498" i="2"/>
  <c r="G497" i="2" s="1"/>
  <c r="H498" i="2"/>
  <c r="H497" i="2" s="1"/>
  <c r="I498" i="2"/>
  <c r="I497" i="2" s="1"/>
  <c r="J498" i="2"/>
  <c r="J497" i="2" s="1"/>
  <c r="K498" i="2"/>
  <c r="K497" i="2" s="1"/>
  <c r="L498" i="2"/>
  <c r="L497" i="2" s="1"/>
  <c r="M498" i="2"/>
  <c r="M497" i="2" s="1"/>
  <c r="N498" i="2"/>
  <c r="N497" i="2" s="1"/>
  <c r="O498" i="2"/>
  <c r="O497" i="2" s="1"/>
  <c r="P498" i="2"/>
  <c r="P497" i="2" s="1"/>
  <c r="Q498" i="2"/>
  <c r="Q497" i="2" s="1"/>
  <c r="R498" i="2"/>
  <c r="R497" i="2" s="1"/>
  <c r="S498" i="2"/>
  <c r="S497" i="2" s="1"/>
  <c r="T498" i="2"/>
  <c r="T497" i="2" s="1"/>
  <c r="U498" i="2"/>
  <c r="U497" i="2" s="1"/>
  <c r="V498" i="2"/>
  <c r="V497" i="2" s="1"/>
  <c r="W498" i="2"/>
  <c r="W497" i="2" s="1"/>
  <c r="X498" i="2"/>
  <c r="X497" i="2" s="1"/>
  <c r="E509" i="2"/>
  <c r="F509" i="2"/>
  <c r="G509" i="2"/>
  <c r="H509" i="2"/>
  <c r="I509" i="2"/>
  <c r="J509" i="2"/>
  <c r="K509" i="2"/>
  <c r="L509" i="2"/>
  <c r="M509" i="2"/>
  <c r="N509" i="2"/>
  <c r="O509" i="2"/>
  <c r="P509" i="2"/>
  <c r="Q509" i="2"/>
  <c r="R509" i="2"/>
  <c r="S509" i="2"/>
  <c r="T509" i="2"/>
  <c r="U509" i="2"/>
  <c r="V509" i="2"/>
  <c r="W509" i="2"/>
  <c r="X509" i="2"/>
  <c r="E512" i="2"/>
  <c r="F512" i="2"/>
  <c r="G512" i="2"/>
  <c r="H512" i="2"/>
  <c r="I512" i="2"/>
  <c r="J512" i="2"/>
  <c r="K512" i="2"/>
  <c r="L512" i="2"/>
  <c r="M512" i="2"/>
  <c r="N512" i="2"/>
  <c r="O512" i="2"/>
  <c r="P512" i="2"/>
  <c r="Q512" i="2"/>
  <c r="R512" i="2"/>
  <c r="S512" i="2"/>
  <c r="T512" i="2"/>
  <c r="U512" i="2"/>
  <c r="V512" i="2"/>
  <c r="W512" i="2"/>
  <c r="X512" i="2"/>
  <c r="E518" i="2"/>
  <c r="F518" i="2"/>
  <c r="G518" i="2"/>
  <c r="H518" i="2"/>
  <c r="I518" i="2"/>
  <c r="J518" i="2"/>
  <c r="K518" i="2"/>
  <c r="L518" i="2"/>
  <c r="M518" i="2"/>
  <c r="N518" i="2"/>
  <c r="O518" i="2"/>
  <c r="P518" i="2"/>
  <c r="Q518" i="2"/>
  <c r="R518" i="2"/>
  <c r="S518" i="2"/>
  <c r="T518" i="2"/>
  <c r="U518" i="2"/>
  <c r="V518" i="2"/>
  <c r="W518" i="2"/>
  <c r="X518" i="2"/>
  <c r="E520" i="2"/>
  <c r="F520" i="2"/>
  <c r="G520" i="2"/>
  <c r="H520" i="2"/>
  <c r="I520" i="2"/>
  <c r="J520" i="2"/>
  <c r="K520" i="2"/>
  <c r="L520" i="2"/>
  <c r="M520" i="2"/>
  <c r="N520" i="2"/>
  <c r="O520" i="2"/>
  <c r="P520" i="2"/>
  <c r="Q520" i="2"/>
  <c r="R520" i="2"/>
  <c r="S520" i="2"/>
  <c r="T520" i="2"/>
  <c r="U520" i="2"/>
  <c r="V520" i="2"/>
  <c r="W520" i="2"/>
  <c r="X520" i="2"/>
  <c r="E522" i="2"/>
  <c r="F522" i="2"/>
  <c r="G522" i="2"/>
  <c r="H522" i="2"/>
  <c r="I522" i="2"/>
  <c r="J522" i="2"/>
  <c r="K522" i="2"/>
  <c r="L522" i="2"/>
  <c r="M522" i="2"/>
  <c r="N522" i="2"/>
  <c r="O522" i="2"/>
  <c r="P522" i="2"/>
  <c r="Q522" i="2"/>
  <c r="R522" i="2"/>
  <c r="S522" i="2"/>
  <c r="T522" i="2"/>
  <c r="U522" i="2"/>
  <c r="V522" i="2"/>
  <c r="W522" i="2"/>
  <c r="X522" i="2"/>
  <c r="E526" i="2"/>
  <c r="F526" i="2"/>
  <c r="G526" i="2"/>
  <c r="H526" i="2"/>
  <c r="I526" i="2"/>
  <c r="J526" i="2"/>
  <c r="K526" i="2"/>
  <c r="L526" i="2"/>
  <c r="M526" i="2"/>
  <c r="N526" i="2"/>
  <c r="O526" i="2"/>
  <c r="P526" i="2"/>
  <c r="Q526" i="2"/>
  <c r="R526" i="2"/>
  <c r="S526" i="2"/>
  <c r="T526" i="2"/>
  <c r="U526" i="2"/>
  <c r="V526" i="2"/>
  <c r="W526" i="2"/>
  <c r="X526" i="2"/>
  <c r="E528" i="2"/>
  <c r="F528" i="2"/>
  <c r="G528" i="2"/>
  <c r="H528" i="2"/>
  <c r="I528" i="2"/>
  <c r="J528" i="2"/>
  <c r="K528" i="2"/>
  <c r="L528" i="2"/>
  <c r="M528" i="2"/>
  <c r="N528" i="2"/>
  <c r="O528" i="2"/>
  <c r="P528" i="2"/>
  <c r="Q528" i="2"/>
  <c r="R528" i="2"/>
  <c r="S528" i="2"/>
  <c r="T528" i="2"/>
  <c r="U528" i="2"/>
  <c r="V528" i="2"/>
  <c r="W528" i="2"/>
  <c r="X528" i="2"/>
  <c r="E532" i="2"/>
  <c r="F532" i="2"/>
  <c r="G532" i="2"/>
  <c r="H532" i="2"/>
  <c r="I532" i="2"/>
  <c r="J532" i="2"/>
  <c r="K532" i="2"/>
  <c r="L532" i="2"/>
  <c r="M532" i="2"/>
  <c r="N532" i="2"/>
  <c r="O532" i="2"/>
  <c r="P532" i="2"/>
  <c r="Q532" i="2"/>
  <c r="R532" i="2"/>
  <c r="S532" i="2"/>
  <c r="T532" i="2"/>
  <c r="U532" i="2"/>
  <c r="V532" i="2"/>
  <c r="W532" i="2"/>
  <c r="X532" i="2"/>
  <c r="E534" i="2"/>
  <c r="F534" i="2"/>
  <c r="G534" i="2"/>
  <c r="H534" i="2"/>
  <c r="I534" i="2"/>
  <c r="J534" i="2"/>
  <c r="K534" i="2"/>
  <c r="L534" i="2"/>
  <c r="M534" i="2"/>
  <c r="N534" i="2"/>
  <c r="O534" i="2"/>
  <c r="P534" i="2"/>
  <c r="Q534" i="2"/>
  <c r="R534" i="2"/>
  <c r="S534" i="2"/>
  <c r="T534" i="2"/>
  <c r="U534" i="2"/>
  <c r="V534" i="2"/>
  <c r="W534" i="2"/>
  <c r="X534" i="2"/>
  <c r="E537" i="2"/>
  <c r="F537" i="2"/>
  <c r="G537" i="2"/>
  <c r="H537" i="2"/>
  <c r="I537" i="2"/>
  <c r="J537" i="2"/>
  <c r="K537" i="2"/>
  <c r="L537" i="2"/>
  <c r="M537" i="2"/>
  <c r="N537" i="2"/>
  <c r="O537" i="2"/>
  <c r="P537" i="2"/>
  <c r="Q537" i="2"/>
  <c r="R537" i="2"/>
  <c r="S537" i="2"/>
  <c r="T537" i="2"/>
  <c r="U537" i="2"/>
  <c r="V537" i="2"/>
  <c r="W537" i="2"/>
  <c r="X537" i="2"/>
  <c r="E540" i="2"/>
  <c r="F540" i="2"/>
  <c r="G540" i="2"/>
  <c r="H540" i="2"/>
  <c r="I540" i="2"/>
  <c r="J540" i="2"/>
  <c r="K540" i="2"/>
  <c r="L540" i="2"/>
  <c r="M540" i="2"/>
  <c r="N540" i="2"/>
  <c r="O540" i="2"/>
  <c r="P540" i="2"/>
  <c r="Q540" i="2"/>
  <c r="R540" i="2"/>
  <c r="S540" i="2"/>
  <c r="T540" i="2"/>
  <c r="U540" i="2"/>
  <c r="V540" i="2"/>
  <c r="W540" i="2"/>
  <c r="X540" i="2"/>
  <c r="E542" i="2"/>
  <c r="F542" i="2"/>
  <c r="G542" i="2"/>
  <c r="H542" i="2"/>
  <c r="I542" i="2"/>
  <c r="J542" i="2"/>
  <c r="K542" i="2"/>
  <c r="L542" i="2"/>
  <c r="M542" i="2"/>
  <c r="N542" i="2"/>
  <c r="O542" i="2"/>
  <c r="P542" i="2"/>
  <c r="Q542" i="2"/>
  <c r="R542" i="2"/>
  <c r="S542" i="2"/>
  <c r="T542" i="2"/>
  <c r="U542" i="2"/>
  <c r="V542" i="2"/>
  <c r="W542" i="2"/>
  <c r="X542" i="2"/>
  <c r="E544" i="2"/>
  <c r="F544" i="2"/>
  <c r="G544" i="2"/>
  <c r="H544" i="2"/>
  <c r="I544" i="2"/>
  <c r="J544" i="2"/>
  <c r="K544" i="2"/>
  <c r="L544" i="2"/>
  <c r="M544" i="2"/>
  <c r="N544" i="2"/>
  <c r="O544" i="2"/>
  <c r="P544" i="2"/>
  <c r="Q544" i="2"/>
  <c r="R544" i="2"/>
  <c r="S544" i="2"/>
  <c r="T544" i="2"/>
  <c r="U544" i="2"/>
  <c r="V544" i="2"/>
  <c r="W544" i="2"/>
  <c r="X544" i="2"/>
  <c r="E547" i="2"/>
  <c r="F547" i="2"/>
  <c r="G547" i="2"/>
  <c r="H547" i="2"/>
  <c r="I547" i="2"/>
  <c r="J547" i="2"/>
  <c r="K547" i="2"/>
  <c r="L547" i="2"/>
  <c r="M547" i="2"/>
  <c r="N547" i="2"/>
  <c r="O547" i="2"/>
  <c r="P547" i="2"/>
  <c r="Q547" i="2"/>
  <c r="R547" i="2"/>
  <c r="S547" i="2"/>
  <c r="T547" i="2"/>
  <c r="U547" i="2"/>
  <c r="V547" i="2"/>
  <c r="W547" i="2"/>
  <c r="X547" i="2"/>
  <c r="E549" i="2"/>
  <c r="F549" i="2"/>
  <c r="G549" i="2"/>
  <c r="H549" i="2"/>
  <c r="I549" i="2"/>
  <c r="J549" i="2"/>
  <c r="K549" i="2"/>
  <c r="L549" i="2"/>
  <c r="M549" i="2"/>
  <c r="N549" i="2"/>
  <c r="O549" i="2"/>
  <c r="P549" i="2"/>
  <c r="Q549" i="2"/>
  <c r="R549" i="2"/>
  <c r="S549" i="2"/>
  <c r="T549" i="2"/>
  <c r="U549" i="2"/>
  <c r="V549" i="2"/>
  <c r="W549" i="2"/>
  <c r="X549" i="2"/>
  <c r="E553" i="2"/>
  <c r="F553" i="2"/>
  <c r="G553" i="2"/>
  <c r="H553" i="2"/>
  <c r="I553" i="2"/>
  <c r="J553" i="2"/>
  <c r="K553" i="2"/>
  <c r="L553" i="2"/>
  <c r="M553" i="2"/>
  <c r="N553" i="2"/>
  <c r="O553" i="2"/>
  <c r="P553" i="2"/>
  <c r="Q553" i="2"/>
  <c r="R553" i="2"/>
  <c r="S553" i="2"/>
  <c r="T553" i="2"/>
  <c r="U553" i="2"/>
  <c r="V553" i="2"/>
  <c r="W553" i="2"/>
  <c r="X553" i="2"/>
  <c r="E555" i="2"/>
  <c r="F555" i="2"/>
  <c r="G555" i="2"/>
  <c r="H555" i="2"/>
  <c r="I555" i="2"/>
  <c r="J555" i="2"/>
  <c r="K555" i="2"/>
  <c r="L555" i="2"/>
  <c r="M555" i="2"/>
  <c r="N555" i="2"/>
  <c r="O555" i="2"/>
  <c r="P555" i="2"/>
  <c r="Q555" i="2"/>
  <c r="R555" i="2"/>
  <c r="S555" i="2"/>
  <c r="T555" i="2"/>
  <c r="U555" i="2"/>
  <c r="V555" i="2"/>
  <c r="W555" i="2"/>
  <c r="X555" i="2"/>
  <c r="E561" i="2"/>
  <c r="E560" i="2" s="1"/>
  <c r="F561" i="2"/>
  <c r="F560" i="2" s="1"/>
  <c r="G561" i="2"/>
  <c r="G560" i="2" s="1"/>
  <c r="H561" i="2"/>
  <c r="H560" i="2" s="1"/>
  <c r="I561" i="2"/>
  <c r="I560" i="2" s="1"/>
  <c r="J561" i="2"/>
  <c r="J560" i="2" s="1"/>
  <c r="K561" i="2"/>
  <c r="K560" i="2" s="1"/>
  <c r="L561" i="2"/>
  <c r="L560" i="2" s="1"/>
  <c r="M561" i="2"/>
  <c r="M560" i="2" s="1"/>
  <c r="N561" i="2"/>
  <c r="N560" i="2" s="1"/>
  <c r="O561" i="2"/>
  <c r="O560" i="2" s="1"/>
  <c r="P561" i="2"/>
  <c r="P560" i="2" s="1"/>
  <c r="Q561" i="2"/>
  <c r="Q560" i="2" s="1"/>
  <c r="R561" i="2"/>
  <c r="R560" i="2" s="1"/>
  <c r="S561" i="2"/>
  <c r="S560" i="2" s="1"/>
  <c r="T561" i="2"/>
  <c r="T560" i="2" s="1"/>
  <c r="U561" i="2"/>
  <c r="U560" i="2" s="1"/>
  <c r="V561" i="2"/>
  <c r="V560" i="2" s="1"/>
  <c r="W561" i="2"/>
  <c r="W560" i="2" s="1"/>
  <c r="X561" i="2"/>
  <c r="X560" i="2" s="1"/>
  <c r="E564" i="2"/>
  <c r="E563" i="2" s="1"/>
  <c r="F564" i="2"/>
  <c r="F563" i="2" s="1"/>
  <c r="G564" i="2"/>
  <c r="G563" i="2" s="1"/>
  <c r="H564" i="2"/>
  <c r="H563" i="2" s="1"/>
  <c r="I564" i="2"/>
  <c r="I563" i="2" s="1"/>
  <c r="J564" i="2"/>
  <c r="J563" i="2" s="1"/>
  <c r="K564" i="2"/>
  <c r="K563" i="2" s="1"/>
  <c r="L564" i="2"/>
  <c r="L563" i="2" s="1"/>
  <c r="M564" i="2"/>
  <c r="M563" i="2" s="1"/>
  <c r="N564" i="2"/>
  <c r="N563" i="2" s="1"/>
  <c r="O564" i="2"/>
  <c r="O563" i="2" s="1"/>
  <c r="P564" i="2"/>
  <c r="P563" i="2" s="1"/>
  <c r="Q564" i="2"/>
  <c r="Q563" i="2" s="1"/>
  <c r="R564" i="2"/>
  <c r="R563" i="2" s="1"/>
  <c r="S564" i="2"/>
  <c r="S563" i="2" s="1"/>
  <c r="T564" i="2"/>
  <c r="T563" i="2" s="1"/>
  <c r="U564" i="2"/>
  <c r="U563" i="2" s="1"/>
  <c r="V564" i="2"/>
  <c r="V563" i="2" s="1"/>
  <c r="W564" i="2"/>
  <c r="W563" i="2" s="1"/>
  <c r="X564" i="2"/>
  <c r="X563" i="2" s="1"/>
  <c r="E567" i="2"/>
  <c r="E566" i="2" s="1"/>
  <c r="F567" i="2"/>
  <c r="F566" i="2" s="1"/>
  <c r="G567" i="2"/>
  <c r="G566" i="2" s="1"/>
  <c r="H567" i="2"/>
  <c r="H566" i="2" s="1"/>
  <c r="I567" i="2"/>
  <c r="I566" i="2" s="1"/>
  <c r="J567" i="2"/>
  <c r="J566" i="2" s="1"/>
  <c r="K567" i="2"/>
  <c r="K566" i="2" s="1"/>
  <c r="L567" i="2"/>
  <c r="L566" i="2" s="1"/>
  <c r="M567" i="2"/>
  <c r="M566" i="2" s="1"/>
  <c r="N567" i="2"/>
  <c r="N566" i="2" s="1"/>
  <c r="O567" i="2"/>
  <c r="O566" i="2" s="1"/>
  <c r="P567" i="2"/>
  <c r="P566" i="2" s="1"/>
  <c r="Q567" i="2"/>
  <c r="Q566" i="2" s="1"/>
  <c r="R567" i="2"/>
  <c r="R566" i="2" s="1"/>
  <c r="S567" i="2"/>
  <c r="S566" i="2" s="1"/>
  <c r="T567" i="2"/>
  <c r="T566" i="2" s="1"/>
  <c r="U567" i="2"/>
  <c r="U566" i="2" s="1"/>
  <c r="V567" i="2"/>
  <c r="V566" i="2" s="1"/>
  <c r="W567" i="2"/>
  <c r="W566" i="2" s="1"/>
  <c r="X567" i="2"/>
  <c r="X566" i="2" s="1"/>
  <c r="E570" i="2"/>
  <c r="F570" i="2"/>
  <c r="G570" i="2"/>
  <c r="H570" i="2"/>
  <c r="I570" i="2"/>
  <c r="J570" i="2"/>
  <c r="K570" i="2"/>
  <c r="L570" i="2"/>
  <c r="M570" i="2"/>
  <c r="N570" i="2"/>
  <c r="O570" i="2"/>
  <c r="P570" i="2"/>
  <c r="Q570" i="2"/>
  <c r="R570" i="2"/>
  <c r="S570" i="2"/>
  <c r="T570" i="2"/>
  <c r="U570" i="2"/>
  <c r="V570" i="2"/>
  <c r="W570" i="2"/>
  <c r="X570" i="2"/>
  <c r="E572" i="2"/>
  <c r="F572" i="2"/>
  <c r="G572" i="2"/>
  <c r="H572" i="2"/>
  <c r="I572" i="2"/>
  <c r="J572" i="2"/>
  <c r="K572" i="2"/>
  <c r="L572" i="2"/>
  <c r="M572" i="2"/>
  <c r="N572" i="2"/>
  <c r="O572" i="2"/>
  <c r="P572" i="2"/>
  <c r="Q572" i="2"/>
  <c r="R572" i="2"/>
  <c r="S572" i="2"/>
  <c r="T572" i="2"/>
  <c r="U572" i="2"/>
  <c r="V572" i="2"/>
  <c r="W572" i="2"/>
  <c r="X572" i="2"/>
  <c r="E574" i="2"/>
  <c r="F574" i="2"/>
  <c r="G574" i="2"/>
  <c r="H574" i="2"/>
  <c r="I574" i="2"/>
  <c r="J574" i="2"/>
  <c r="K574" i="2"/>
  <c r="L574" i="2"/>
  <c r="M574" i="2"/>
  <c r="N574" i="2"/>
  <c r="O574" i="2"/>
  <c r="P574" i="2"/>
  <c r="Q574" i="2"/>
  <c r="R574" i="2"/>
  <c r="S574" i="2"/>
  <c r="T574" i="2"/>
  <c r="U574" i="2"/>
  <c r="V574" i="2"/>
  <c r="W574" i="2"/>
  <c r="X574" i="2"/>
  <c r="E576" i="2"/>
  <c r="F576" i="2"/>
  <c r="G576" i="2"/>
  <c r="H576" i="2"/>
  <c r="I576" i="2"/>
  <c r="J576" i="2"/>
  <c r="K576" i="2"/>
  <c r="L576" i="2"/>
  <c r="M576" i="2"/>
  <c r="N576" i="2"/>
  <c r="O576" i="2"/>
  <c r="P576" i="2"/>
  <c r="Q576" i="2"/>
  <c r="R576" i="2"/>
  <c r="S576" i="2"/>
  <c r="T576" i="2"/>
  <c r="U576" i="2"/>
  <c r="V576" i="2"/>
  <c r="W576" i="2"/>
  <c r="X576" i="2"/>
  <c r="E579" i="2"/>
  <c r="F579" i="2"/>
  <c r="G579" i="2"/>
  <c r="H579" i="2"/>
  <c r="I579" i="2"/>
  <c r="J579" i="2"/>
  <c r="K579" i="2"/>
  <c r="L579" i="2"/>
  <c r="M579" i="2"/>
  <c r="N579" i="2"/>
  <c r="O579" i="2"/>
  <c r="P579" i="2"/>
  <c r="Q579" i="2"/>
  <c r="R579" i="2"/>
  <c r="S579" i="2"/>
  <c r="S569" i="2" s="1"/>
  <c r="T579" i="2"/>
  <c r="U579" i="2"/>
  <c r="V579" i="2"/>
  <c r="W579" i="2"/>
  <c r="X579" i="2"/>
  <c r="E582" i="2"/>
  <c r="E581" i="2" s="1"/>
  <c r="F582" i="2"/>
  <c r="F581" i="2" s="1"/>
  <c r="G582" i="2"/>
  <c r="G581" i="2" s="1"/>
  <c r="H582" i="2"/>
  <c r="H581" i="2" s="1"/>
  <c r="I582" i="2"/>
  <c r="I581" i="2" s="1"/>
  <c r="J582" i="2"/>
  <c r="J581" i="2" s="1"/>
  <c r="K582" i="2"/>
  <c r="K581" i="2" s="1"/>
  <c r="L582" i="2"/>
  <c r="L581" i="2" s="1"/>
  <c r="M582" i="2"/>
  <c r="M581" i="2" s="1"/>
  <c r="N582" i="2"/>
  <c r="N581" i="2" s="1"/>
  <c r="O582" i="2"/>
  <c r="O581" i="2" s="1"/>
  <c r="P582" i="2"/>
  <c r="P581" i="2" s="1"/>
  <c r="Q582" i="2"/>
  <c r="Q581" i="2" s="1"/>
  <c r="R582" i="2"/>
  <c r="R581" i="2" s="1"/>
  <c r="S582" i="2"/>
  <c r="S581" i="2" s="1"/>
  <c r="T582" i="2"/>
  <c r="T581" i="2" s="1"/>
  <c r="U582" i="2"/>
  <c r="U581" i="2" s="1"/>
  <c r="V582" i="2"/>
  <c r="V581" i="2" s="1"/>
  <c r="W582" i="2"/>
  <c r="W581" i="2" s="1"/>
  <c r="X582" i="2"/>
  <c r="X581" i="2" s="1"/>
  <c r="E585" i="2"/>
  <c r="E584" i="2" s="1"/>
  <c r="F585" i="2"/>
  <c r="F584" i="2" s="1"/>
  <c r="G585" i="2"/>
  <c r="G584" i="2" s="1"/>
  <c r="H585" i="2"/>
  <c r="H584" i="2" s="1"/>
  <c r="I585" i="2"/>
  <c r="I584" i="2" s="1"/>
  <c r="J585" i="2"/>
  <c r="J584" i="2" s="1"/>
  <c r="K585" i="2"/>
  <c r="K584" i="2" s="1"/>
  <c r="L585" i="2"/>
  <c r="L584" i="2" s="1"/>
  <c r="M585" i="2"/>
  <c r="M584" i="2" s="1"/>
  <c r="N585" i="2"/>
  <c r="N584" i="2" s="1"/>
  <c r="O585" i="2"/>
  <c r="O584" i="2" s="1"/>
  <c r="P585" i="2"/>
  <c r="P584" i="2" s="1"/>
  <c r="Q585" i="2"/>
  <c r="Q584" i="2" s="1"/>
  <c r="R585" i="2"/>
  <c r="R584" i="2" s="1"/>
  <c r="S585" i="2"/>
  <c r="S584" i="2" s="1"/>
  <c r="T585" i="2"/>
  <c r="T584" i="2" s="1"/>
  <c r="U585" i="2"/>
  <c r="U584" i="2" s="1"/>
  <c r="V585" i="2"/>
  <c r="V584" i="2" s="1"/>
  <c r="W585" i="2"/>
  <c r="W584" i="2" s="1"/>
  <c r="X585" i="2"/>
  <c r="X584" i="2" s="1"/>
  <c r="E588" i="2"/>
  <c r="F588" i="2"/>
  <c r="G588" i="2"/>
  <c r="H588" i="2"/>
  <c r="I588" i="2"/>
  <c r="J588" i="2"/>
  <c r="K588" i="2"/>
  <c r="L588" i="2"/>
  <c r="M588" i="2"/>
  <c r="N588" i="2"/>
  <c r="O588" i="2"/>
  <c r="P588" i="2"/>
  <c r="Q588" i="2"/>
  <c r="R588" i="2"/>
  <c r="S588" i="2"/>
  <c r="T588" i="2"/>
  <c r="U588" i="2"/>
  <c r="V588" i="2"/>
  <c r="W588" i="2"/>
  <c r="X588" i="2"/>
  <c r="E590" i="2"/>
  <c r="F590" i="2"/>
  <c r="G590" i="2"/>
  <c r="H590" i="2"/>
  <c r="I590" i="2"/>
  <c r="J590" i="2"/>
  <c r="K590" i="2"/>
  <c r="L590" i="2"/>
  <c r="M590" i="2"/>
  <c r="N590" i="2"/>
  <c r="O590" i="2"/>
  <c r="P590" i="2"/>
  <c r="Q590" i="2"/>
  <c r="R590" i="2"/>
  <c r="S590" i="2"/>
  <c r="T590" i="2"/>
  <c r="U590" i="2"/>
  <c r="V590" i="2"/>
  <c r="W590" i="2"/>
  <c r="X590" i="2"/>
  <c r="E594" i="2"/>
  <c r="E593" i="2" s="1"/>
  <c r="F594" i="2"/>
  <c r="F593" i="2" s="1"/>
  <c r="G594" i="2"/>
  <c r="G593" i="2" s="1"/>
  <c r="H594" i="2"/>
  <c r="H593" i="2" s="1"/>
  <c r="I594" i="2"/>
  <c r="I593" i="2" s="1"/>
  <c r="J594" i="2"/>
  <c r="J593" i="2" s="1"/>
  <c r="K594" i="2"/>
  <c r="K593" i="2" s="1"/>
  <c r="L594" i="2"/>
  <c r="L593" i="2" s="1"/>
  <c r="M594" i="2"/>
  <c r="M593" i="2" s="1"/>
  <c r="N594" i="2"/>
  <c r="N593" i="2" s="1"/>
  <c r="O594" i="2"/>
  <c r="O593" i="2" s="1"/>
  <c r="P594" i="2"/>
  <c r="P593" i="2" s="1"/>
  <c r="Q594" i="2"/>
  <c r="Q593" i="2" s="1"/>
  <c r="R594" i="2"/>
  <c r="R593" i="2" s="1"/>
  <c r="S594" i="2"/>
  <c r="S593" i="2" s="1"/>
  <c r="T594" i="2"/>
  <c r="T593" i="2" s="1"/>
  <c r="U594" i="2"/>
  <c r="U593" i="2" s="1"/>
  <c r="V594" i="2"/>
  <c r="V593" i="2" s="1"/>
  <c r="W594" i="2"/>
  <c r="W593" i="2" s="1"/>
  <c r="X594" i="2"/>
  <c r="X593" i="2" s="1"/>
  <c r="E597" i="2"/>
  <c r="E596" i="2" s="1"/>
  <c r="F597" i="2"/>
  <c r="F596" i="2" s="1"/>
  <c r="G597" i="2"/>
  <c r="G596" i="2" s="1"/>
  <c r="H597" i="2"/>
  <c r="H596" i="2" s="1"/>
  <c r="I597" i="2"/>
  <c r="I596" i="2" s="1"/>
  <c r="J597" i="2"/>
  <c r="J596" i="2" s="1"/>
  <c r="K597" i="2"/>
  <c r="K596" i="2" s="1"/>
  <c r="L597" i="2"/>
  <c r="L596" i="2" s="1"/>
  <c r="M597" i="2"/>
  <c r="M596" i="2" s="1"/>
  <c r="N597" i="2"/>
  <c r="N596" i="2" s="1"/>
  <c r="O597" i="2"/>
  <c r="O596" i="2" s="1"/>
  <c r="P597" i="2"/>
  <c r="P596" i="2" s="1"/>
  <c r="Q597" i="2"/>
  <c r="Q596" i="2" s="1"/>
  <c r="R597" i="2"/>
  <c r="R596" i="2" s="1"/>
  <c r="S597" i="2"/>
  <c r="S596" i="2" s="1"/>
  <c r="T597" i="2"/>
  <c r="T596" i="2" s="1"/>
  <c r="U597" i="2"/>
  <c r="U596" i="2" s="1"/>
  <c r="V597" i="2"/>
  <c r="V596" i="2" s="1"/>
  <c r="W597" i="2"/>
  <c r="W596" i="2" s="1"/>
  <c r="X597" i="2"/>
  <c r="X596" i="2" s="1"/>
  <c r="E600" i="2"/>
  <c r="E599" i="2" s="1"/>
  <c r="F600" i="2"/>
  <c r="F599" i="2" s="1"/>
  <c r="G600" i="2"/>
  <c r="G599" i="2" s="1"/>
  <c r="H600" i="2"/>
  <c r="H599" i="2" s="1"/>
  <c r="I600" i="2"/>
  <c r="I599" i="2" s="1"/>
  <c r="J600" i="2"/>
  <c r="J599" i="2" s="1"/>
  <c r="K600" i="2"/>
  <c r="K599" i="2" s="1"/>
  <c r="L600" i="2"/>
  <c r="L599" i="2" s="1"/>
  <c r="M600" i="2"/>
  <c r="M599" i="2" s="1"/>
  <c r="N600" i="2"/>
  <c r="N599" i="2" s="1"/>
  <c r="O600" i="2"/>
  <c r="O599" i="2" s="1"/>
  <c r="P600" i="2"/>
  <c r="P599" i="2" s="1"/>
  <c r="Q600" i="2"/>
  <c r="Q599" i="2" s="1"/>
  <c r="R600" i="2"/>
  <c r="R599" i="2" s="1"/>
  <c r="S600" i="2"/>
  <c r="S599" i="2" s="1"/>
  <c r="T600" i="2"/>
  <c r="T599" i="2" s="1"/>
  <c r="U600" i="2"/>
  <c r="U599" i="2" s="1"/>
  <c r="V600" i="2"/>
  <c r="V599" i="2" s="1"/>
  <c r="W600" i="2"/>
  <c r="W599" i="2" s="1"/>
  <c r="X600" i="2"/>
  <c r="X599" i="2" s="1"/>
  <c r="E603" i="2"/>
  <c r="E602" i="2" s="1"/>
  <c r="F603" i="2"/>
  <c r="F602" i="2" s="1"/>
  <c r="G603" i="2"/>
  <c r="G602" i="2" s="1"/>
  <c r="H603" i="2"/>
  <c r="H602" i="2" s="1"/>
  <c r="I603" i="2"/>
  <c r="I602" i="2" s="1"/>
  <c r="J603" i="2"/>
  <c r="J602" i="2" s="1"/>
  <c r="K603" i="2"/>
  <c r="K602" i="2" s="1"/>
  <c r="L603" i="2"/>
  <c r="L602" i="2" s="1"/>
  <c r="M603" i="2"/>
  <c r="M602" i="2" s="1"/>
  <c r="N603" i="2"/>
  <c r="N602" i="2" s="1"/>
  <c r="O603" i="2"/>
  <c r="O602" i="2" s="1"/>
  <c r="P603" i="2"/>
  <c r="P602" i="2" s="1"/>
  <c r="Q603" i="2"/>
  <c r="Q602" i="2" s="1"/>
  <c r="R603" i="2"/>
  <c r="R602" i="2" s="1"/>
  <c r="S603" i="2"/>
  <c r="S602" i="2" s="1"/>
  <c r="T603" i="2"/>
  <c r="T602" i="2" s="1"/>
  <c r="U603" i="2"/>
  <c r="U602" i="2" s="1"/>
  <c r="V603" i="2"/>
  <c r="V602" i="2" s="1"/>
  <c r="W603" i="2"/>
  <c r="W602" i="2" s="1"/>
  <c r="X603" i="2"/>
  <c r="X602" i="2" s="1"/>
  <c r="E607" i="2"/>
  <c r="E606" i="2" s="1"/>
  <c r="E605" i="2" s="1"/>
  <c r="F607" i="2"/>
  <c r="F606" i="2" s="1"/>
  <c r="F605" i="2" s="1"/>
  <c r="G607" i="2"/>
  <c r="G606" i="2" s="1"/>
  <c r="G605" i="2" s="1"/>
  <c r="H607" i="2"/>
  <c r="H606" i="2" s="1"/>
  <c r="H605" i="2" s="1"/>
  <c r="I607" i="2"/>
  <c r="I606" i="2" s="1"/>
  <c r="I605" i="2" s="1"/>
  <c r="J607" i="2"/>
  <c r="J606" i="2" s="1"/>
  <c r="J605" i="2" s="1"/>
  <c r="K607" i="2"/>
  <c r="K606" i="2" s="1"/>
  <c r="K605" i="2" s="1"/>
  <c r="L607" i="2"/>
  <c r="L606" i="2" s="1"/>
  <c r="L605" i="2" s="1"/>
  <c r="M607" i="2"/>
  <c r="M606" i="2" s="1"/>
  <c r="M605" i="2" s="1"/>
  <c r="N607" i="2"/>
  <c r="N606" i="2" s="1"/>
  <c r="N605" i="2" s="1"/>
  <c r="O607" i="2"/>
  <c r="O606" i="2" s="1"/>
  <c r="O605" i="2" s="1"/>
  <c r="P607" i="2"/>
  <c r="P606" i="2" s="1"/>
  <c r="P605" i="2" s="1"/>
  <c r="Q607" i="2"/>
  <c r="Q606" i="2" s="1"/>
  <c r="Q605" i="2" s="1"/>
  <c r="R607" i="2"/>
  <c r="R606" i="2" s="1"/>
  <c r="R605" i="2" s="1"/>
  <c r="S607" i="2"/>
  <c r="S606" i="2" s="1"/>
  <c r="S605" i="2" s="1"/>
  <c r="T607" i="2"/>
  <c r="T606" i="2" s="1"/>
  <c r="T605" i="2" s="1"/>
  <c r="U607" i="2"/>
  <c r="U606" i="2" s="1"/>
  <c r="U605" i="2" s="1"/>
  <c r="V607" i="2"/>
  <c r="V606" i="2" s="1"/>
  <c r="V605" i="2" s="1"/>
  <c r="W607" i="2"/>
  <c r="W606" i="2" s="1"/>
  <c r="W605" i="2" s="1"/>
  <c r="X607" i="2"/>
  <c r="X606" i="2" s="1"/>
  <c r="X605" i="2" s="1"/>
  <c r="E611" i="2"/>
  <c r="E610" i="2" s="1"/>
  <c r="E609" i="2" s="1"/>
  <c r="F611" i="2"/>
  <c r="F610" i="2" s="1"/>
  <c r="F609" i="2" s="1"/>
  <c r="G611" i="2"/>
  <c r="G610" i="2" s="1"/>
  <c r="G609" i="2" s="1"/>
  <c r="H611" i="2"/>
  <c r="H610" i="2" s="1"/>
  <c r="H609" i="2" s="1"/>
  <c r="I611" i="2"/>
  <c r="I610" i="2" s="1"/>
  <c r="I609" i="2" s="1"/>
  <c r="J611" i="2"/>
  <c r="J610" i="2" s="1"/>
  <c r="J609" i="2" s="1"/>
  <c r="K611" i="2"/>
  <c r="K610" i="2" s="1"/>
  <c r="K609" i="2" s="1"/>
  <c r="L611" i="2"/>
  <c r="L610" i="2" s="1"/>
  <c r="L609" i="2" s="1"/>
  <c r="M611" i="2"/>
  <c r="M610" i="2" s="1"/>
  <c r="M609" i="2" s="1"/>
  <c r="N611" i="2"/>
  <c r="N610" i="2" s="1"/>
  <c r="N609" i="2" s="1"/>
  <c r="O611" i="2"/>
  <c r="O610" i="2" s="1"/>
  <c r="O609" i="2" s="1"/>
  <c r="P611" i="2"/>
  <c r="P610" i="2" s="1"/>
  <c r="P609" i="2" s="1"/>
  <c r="Q611" i="2"/>
  <c r="Q610" i="2" s="1"/>
  <c r="Q609" i="2" s="1"/>
  <c r="R611" i="2"/>
  <c r="R610" i="2" s="1"/>
  <c r="R609" i="2" s="1"/>
  <c r="S611" i="2"/>
  <c r="S610" i="2" s="1"/>
  <c r="S609" i="2" s="1"/>
  <c r="T611" i="2"/>
  <c r="T610" i="2" s="1"/>
  <c r="T609" i="2" s="1"/>
  <c r="U611" i="2"/>
  <c r="U610" i="2" s="1"/>
  <c r="U609" i="2" s="1"/>
  <c r="V611" i="2"/>
  <c r="V610" i="2" s="1"/>
  <c r="V609" i="2" s="1"/>
  <c r="W611" i="2"/>
  <c r="W610" i="2" s="1"/>
  <c r="W609" i="2" s="1"/>
  <c r="X611" i="2"/>
  <c r="X610" i="2" s="1"/>
  <c r="X609" i="2" s="1"/>
  <c r="C623" i="2"/>
  <c r="D623" i="2"/>
  <c r="E623" i="2"/>
  <c r="F623" i="2"/>
  <c r="G623" i="2"/>
  <c r="H623" i="2"/>
  <c r="I623" i="2"/>
  <c r="J623" i="2"/>
  <c r="K623" i="2"/>
  <c r="L623" i="2"/>
  <c r="M623" i="2"/>
  <c r="N623" i="2"/>
  <c r="O623" i="2"/>
  <c r="P623" i="2"/>
  <c r="Q623" i="2"/>
  <c r="R623" i="2"/>
  <c r="S623" i="2"/>
  <c r="T623" i="2"/>
  <c r="U623" i="2"/>
  <c r="V623" i="2"/>
  <c r="C632" i="2"/>
  <c r="D632" i="2"/>
  <c r="E632" i="2"/>
  <c r="F632" i="2"/>
  <c r="G632" i="2"/>
  <c r="H632" i="2"/>
  <c r="I632" i="2"/>
  <c r="J632" i="2"/>
  <c r="K632" i="2"/>
  <c r="L632" i="2"/>
  <c r="M632" i="2"/>
  <c r="N632" i="2"/>
  <c r="O632" i="2"/>
  <c r="P632" i="2"/>
  <c r="P635" i="2" s="1"/>
  <c r="Q632" i="2"/>
  <c r="R632" i="2"/>
  <c r="S632" i="2"/>
  <c r="T632" i="2"/>
  <c r="U632" i="2"/>
  <c r="V632" i="2"/>
  <c r="C635" i="2"/>
  <c r="D635" i="2"/>
  <c r="E635" i="2"/>
  <c r="F635" i="2"/>
  <c r="G635" i="2"/>
  <c r="H635" i="2"/>
  <c r="I635" i="2"/>
  <c r="J635" i="2"/>
  <c r="K635" i="2"/>
  <c r="L635" i="2"/>
  <c r="M635" i="2"/>
  <c r="N635" i="2"/>
  <c r="O635" i="2"/>
  <c r="Q635" i="2"/>
  <c r="R635" i="2"/>
  <c r="S635" i="2"/>
  <c r="T635" i="2"/>
  <c r="U635" i="2"/>
  <c r="V635" i="2"/>
  <c r="I468" i="2" l="1"/>
  <c r="F424" i="2"/>
  <c r="F419" i="2"/>
  <c r="U347" i="2"/>
  <c r="E276" i="2"/>
  <c r="E275" i="2" s="1"/>
  <c r="O460" i="2"/>
  <c r="W455" i="2"/>
  <c r="W454" i="2" s="1"/>
  <c r="O455" i="2"/>
  <c r="O454" i="2" s="1"/>
  <c r="K455" i="2"/>
  <c r="K454" i="2" s="1"/>
  <c r="G455" i="2"/>
  <c r="G454" i="2" s="1"/>
  <c r="V408" i="2"/>
  <c r="W203" i="2"/>
  <c r="W202" i="2" s="1"/>
  <c r="K203" i="2"/>
  <c r="K202" i="2" s="1"/>
  <c r="G203" i="2"/>
  <c r="G202" i="2" s="1"/>
  <c r="L142" i="2"/>
  <c r="L569" i="2"/>
  <c r="L536" i="2"/>
  <c r="U276" i="2"/>
  <c r="L46" i="2"/>
  <c r="L45" i="2" s="1"/>
  <c r="S468" i="2"/>
  <c r="S467" i="2" s="1"/>
  <c r="R424" i="2"/>
  <c r="R418" i="2" s="1"/>
  <c r="S243" i="2"/>
  <c r="S242" i="2" s="1"/>
  <c r="S552" i="2"/>
  <c r="K552" i="2"/>
  <c r="L508" i="2"/>
  <c r="T492" i="2"/>
  <c r="T491" i="2" s="1"/>
  <c r="L492" i="2"/>
  <c r="R468" i="2"/>
  <c r="R467" i="2" s="1"/>
  <c r="N468" i="2"/>
  <c r="N467" i="2" s="1"/>
  <c r="R455" i="2"/>
  <c r="R454" i="2" s="1"/>
  <c r="V424" i="2"/>
  <c r="J424" i="2"/>
  <c r="X267" i="2"/>
  <c r="T267" i="2"/>
  <c r="P267" i="2"/>
  <c r="L267" i="2"/>
  <c r="H267" i="2"/>
  <c r="N243" i="2"/>
  <c r="N242" i="2" s="1"/>
  <c r="O153" i="2"/>
  <c r="P546" i="2"/>
  <c r="P536" i="2"/>
  <c r="U460" i="2"/>
  <c r="M460" i="2"/>
  <c r="E460" i="2"/>
  <c r="S455" i="2"/>
  <c r="S454" i="2" s="1"/>
  <c r="R408" i="2"/>
  <c r="O243" i="2"/>
  <c r="O242" i="2" s="1"/>
  <c r="K220" i="2"/>
  <c r="K216" i="2" s="1"/>
  <c r="O193" i="2"/>
  <c r="O192" i="2" s="1"/>
  <c r="T569" i="2"/>
  <c r="W460" i="2"/>
  <c r="K231" i="2"/>
  <c r="T536" i="2"/>
  <c r="Q460" i="2"/>
  <c r="I460" i="2"/>
  <c r="F408" i="2"/>
  <c r="O220" i="2"/>
  <c r="O216" i="2" s="1"/>
  <c r="O203" i="2"/>
  <c r="O202" i="2" s="1"/>
  <c r="K569" i="2"/>
  <c r="R445" i="2"/>
  <c r="J419" i="2"/>
  <c r="Q347" i="2"/>
  <c r="E347" i="2"/>
  <c r="V123" i="2"/>
  <c r="V122" i="2" s="1"/>
  <c r="R123" i="2"/>
  <c r="R122" i="2" s="1"/>
  <c r="F123" i="2"/>
  <c r="F122" i="2" s="1"/>
  <c r="R100" i="2"/>
  <c r="T87" i="2"/>
  <c r="H74" i="2"/>
  <c r="L65" i="2"/>
  <c r="P46" i="2"/>
  <c r="P45" i="2" s="1"/>
  <c r="O587" i="2"/>
  <c r="G569" i="2"/>
  <c r="U552" i="2"/>
  <c r="M552" i="2"/>
  <c r="N455" i="2"/>
  <c r="N454" i="2" s="1"/>
  <c r="S430" i="2"/>
  <c r="G430" i="2"/>
  <c r="S424" i="2"/>
  <c r="G424" i="2"/>
  <c r="S401" i="2"/>
  <c r="G401" i="2"/>
  <c r="S394" i="2"/>
  <c r="G394" i="2"/>
  <c r="W389" i="2"/>
  <c r="K389" i="2"/>
  <c r="G389" i="2"/>
  <c r="W363" i="2"/>
  <c r="O363" i="2"/>
  <c r="W358" i="2"/>
  <c r="G358" i="2"/>
  <c r="P347" i="2"/>
  <c r="V587" i="2"/>
  <c r="R587" i="2"/>
  <c r="N587" i="2"/>
  <c r="J587" i="2"/>
  <c r="F587" i="2"/>
  <c r="V569" i="2"/>
  <c r="R569" i="2"/>
  <c r="N569" i="2"/>
  <c r="J569" i="2"/>
  <c r="F569" i="2"/>
  <c r="X552" i="2"/>
  <c r="T552" i="2"/>
  <c r="L552" i="2"/>
  <c r="V536" i="2"/>
  <c r="R536" i="2"/>
  <c r="N536" i="2"/>
  <c r="J536" i="2"/>
  <c r="F536" i="2"/>
  <c r="W468" i="2"/>
  <c r="W467" i="2" s="1"/>
  <c r="O468" i="2"/>
  <c r="O467" i="2" s="1"/>
  <c r="K468" i="2"/>
  <c r="K467" i="2" s="1"/>
  <c r="G468" i="2"/>
  <c r="G467" i="2" s="1"/>
  <c r="I467" i="2"/>
  <c r="W587" i="2"/>
  <c r="G587" i="2"/>
  <c r="O569" i="2"/>
  <c r="Q552" i="2"/>
  <c r="I552" i="2"/>
  <c r="J455" i="2"/>
  <c r="J454" i="2" s="1"/>
  <c r="W430" i="2"/>
  <c r="O430" i="2"/>
  <c r="O424" i="2"/>
  <c r="W401" i="2"/>
  <c r="K401" i="2"/>
  <c r="O394" i="2"/>
  <c r="S389" i="2"/>
  <c r="S363" i="2"/>
  <c r="G363" i="2"/>
  <c r="O358" i="2"/>
  <c r="T347" i="2"/>
  <c r="L347" i="2"/>
  <c r="U587" i="2"/>
  <c r="Q587" i="2"/>
  <c r="M587" i="2"/>
  <c r="I587" i="2"/>
  <c r="E587" i="2"/>
  <c r="U569" i="2"/>
  <c r="Q569" i="2"/>
  <c r="M569" i="2"/>
  <c r="I569" i="2"/>
  <c r="E569" i="2"/>
  <c r="W552" i="2"/>
  <c r="W551" i="2" s="1"/>
  <c r="O552" i="2"/>
  <c r="G552" i="2"/>
  <c r="U546" i="2"/>
  <c r="Q546" i="2"/>
  <c r="M546" i="2"/>
  <c r="I546" i="2"/>
  <c r="E546" i="2"/>
  <c r="V492" i="2"/>
  <c r="V491" i="2" s="1"/>
  <c r="R492" i="2"/>
  <c r="R491" i="2" s="1"/>
  <c r="N492" i="2"/>
  <c r="J492" i="2"/>
  <c r="J491" i="2" s="1"/>
  <c r="F492" i="2"/>
  <c r="F491" i="2" s="1"/>
  <c r="W445" i="2"/>
  <c r="S445" i="2"/>
  <c r="O445" i="2"/>
  <c r="K445" i="2"/>
  <c r="K429" i="2" s="1"/>
  <c r="G445" i="2"/>
  <c r="W419" i="2"/>
  <c r="S419" i="2"/>
  <c r="S418" i="2" s="1"/>
  <c r="O419" i="2"/>
  <c r="O418" i="2" s="1"/>
  <c r="K419" i="2"/>
  <c r="G419" i="2"/>
  <c r="V142" i="2"/>
  <c r="R142" i="2"/>
  <c r="N142" i="2"/>
  <c r="J142" i="2"/>
  <c r="F142" i="2"/>
  <c r="S587" i="2"/>
  <c r="S551" i="2" s="1"/>
  <c r="K587" i="2"/>
  <c r="W569" i="2"/>
  <c r="E552" i="2"/>
  <c r="V455" i="2"/>
  <c r="V454" i="2" s="1"/>
  <c r="F455" i="2"/>
  <c r="F454" i="2" s="1"/>
  <c r="K430" i="2"/>
  <c r="W424" i="2"/>
  <c r="K424" i="2"/>
  <c r="O401" i="2"/>
  <c r="W394" i="2"/>
  <c r="K394" i="2"/>
  <c r="O389" i="2"/>
  <c r="K363" i="2"/>
  <c r="S358" i="2"/>
  <c r="K358" i="2"/>
  <c r="X347" i="2"/>
  <c r="H347" i="2"/>
  <c r="T592" i="2"/>
  <c r="L592" i="2"/>
  <c r="X587" i="2"/>
  <c r="T587" i="2"/>
  <c r="P587" i="2"/>
  <c r="L587" i="2"/>
  <c r="H587" i="2"/>
  <c r="X569" i="2"/>
  <c r="P569" i="2"/>
  <c r="H569" i="2"/>
  <c r="U531" i="2"/>
  <c r="Q531" i="2"/>
  <c r="M531" i="2"/>
  <c r="I531" i="2"/>
  <c r="E531" i="2"/>
  <c r="U508" i="2"/>
  <c r="Q508" i="2"/>
  <c r="M508" i="2"/>
  <c r="I508" i="2"/>
  <c r="E508" i="2"/>
  <c r="P552" i="2"/>
  <c r="H552" i="2"/>
  <c r="X546" i="2"/>
  <c r="T546" i="2"/>
  <c r="L546" i="2"/>
  <c r="H546" i="2"/>
  <c r="U536" i="2"/>
  <c r="Q536" i="2"/>
  <c r="M536" i="2"/>
  <c r="I536" i="2"/>
  <c r="E536" i="2"/>
  <c r="X531" i="2"/>
  <c r="T531" i="2"/>
  <c r="P531" i="2"/>
  <c r="L531" i="2"/>
  <c r="H531" i="2"/>
  <c r="T508" i="2"/>
  <c r="X508" i="2"/>
  <c r="P508" i="2"/>
  <c r="P507" i="2" s="1"/>
  <c r="H508" i="2"/>
  <c r="U492" i="2"/>
  <c r="U491" i="2" s="1"/>
  <c r="Q492" i="2"/>
  <c r="Q491" i="2" s="1"/>
  <c r="M492" i="2"/>
  <c r="M491" i="2" s="1"/>
  <c r="I492" i="2"/>
  <c r="I491" i="2" s="1"/>
  <c r="E492" i="2"/>
  <c r="E491" i="2" s="1"/>
  <c r="V479" i="2"/>
  <c r="R479" i="2"/>
  <c r="N479" i="2"/>
  <c r="J479" i="2"/>
  <c r="F479" i="2"/>
  <c r="V468" i="2"/>
  <c r="V467" i="2" s="1"/>
  <c r="J468" i="2"/>
  <c r="F468" i="2"/>
  <c r="X460" i="2"/>
  <c r="T460" i="2"/>
  <c r="P460" i="2"/>
  <c r="L460" i="2"/>
  <c r="H460" i="2"/>
  <c r="U455" i="2"/>
  <c r="U454" i="2" s="1"/>
  <c r="Q455" i="2"/>
  <c r="Q454" i="2" s="1"/>
  <c r="M455" i="2"/>
  <c r="M454" i="2" s="1"/>
  <c r="I455" i="2"/>
  <c r="I454" i="2" s="1"/>
  <c r="E455" i="2"/>
  <c r="E454" i="2" s="1"/>
  <c r="V445" i="2"/>
  <c r="N445" i="2"/>
  <c r="J445" i="2"/>
  <c r="F445" i="2"/>
  <c r="N430" i="2"/>
  <c r="N424" i="2"/>
  <c r="V419" i="2"/>
  <c r="V418" i="2" s="1"/>
  <c r="N419" i="2"/>
  <c r="W276" i="2"/>
  <c r="S276" i="2"/>
  <c r="O276" i="2"/>
  <c r="O275" i="2" s="1"/>
  <c r="K276" i="2"/>
  <c r="K275" i="2" s="1"/>
  <c r="G276" i="2"/>
  <c r="E267" i="2"/>
  <c r="X203" i="2"/>
  <c r="X202" i="2" s="1"/>
  <c r="T203" i="2"/>
  <c r="T202" i="2" s="1"/>
  <c r="P203" i="2"/>
  <c r="P202" i="2" s="1"/>
  <c r="L203" i="2"/>
  <c r="L202" i="2" s="1"/>
  <c r="H203" i="2"/>
  <c r="H202" i="2" s="1"/>
  <c r="O546" i="2"/>
  <c r="K546" i="2"/>
  <c r="G546" i="2"/>
  <c r="X536" i="2"/>
  <c r="H536" i="2"/>
  <c r="H507" i="2" s="1"/>
  <c r="W531" i="2"/>
  <c r="S531" i="2"/>
  <c r="O531" i="2"/>
  <c r="K531" i="2"/>
  <c r="K507" i="2" s="1"/>
  <c r="G531" i="2"/>
  <c r="W508" i="2"/>
  <c r="S508" i="2"/>
  <c r="O508" i="2"/>
  <c r="K508" i="2"/>
  <c r="G508" i="2"/>
  <c r="X492" i="2"/>
  <c r="X491" i="2" s="1"/>
  <c r="P492" i="2"/>
  <c r="P491" i="2" s="1"/>
  <c r="H492" i="2"/>
  <c r="X455" i="2"/>
  <c r="X454" i="2" s="1"/>
  <c r="T455" i="2"/>
  <c r="T454" i="2" s="1"/>
  <c r="P455" i="2"/>
  <c r="P454" i="2" s="1"/>
  <c r="L455" i="2"/>
  <c r="L454" i="2" s="1"/>
  <c r="H455" i="2"/>
  <c r="H454" i="2" s="1"/>
  <c r="U445" i="2"/>
  <c r="Q445" i="2"/>
  <c r="M445" i="2"/>
  <c r="I445" i="2"/>
  <c r="E445" i="2"/>
  <c r="U430" i="2"/>
  <c r="Q430" i="2"/>
  <c r="M430" i="2"/>
  <c r="I430" i="2"/>
  <c r="E430" i="2"/>
  <c r="U424" i="2"/>
  <c r="Q424" i="2"/>
  <c r="M424" i="2"/>
  <c r="I424" i="2"/>
  <c r="E424" i="2"/>
  <c r="U419" i="2"/>
  <c r="Q419" i="2"/>
  <c r="M419" i="2"/>
  <c r="I419" i="2"/>
  <c r="E419" i="2"/>
  <c r="X408" i="2"/>
  <c r="T408" i="2"/>
  <c r="P408" i="2"/>
  <c r="L408" i="2"/>
  <c r="H408" i="2"/>
  <c r="U334" i="2"/>
  <c r="Q334" i="2"/>
  <c r="M334" i="2"/>
  <c r="I334" i="2"/>
  <c r="E334" i="2"/>
  <c r="U267" i="2"/>
  <c r="V552" i="2"/>
  <c r="V551" i="2" s="1"/>
  <c r="R552" i="2"/>
  <c r="N552" i="2"/>
  <c r="J552" i="2"/>
  <c r="F552" i="2"/>
  <c r="F551" i="2" s="1"/>
  <c r="V546" i="2"/>
  <c r="R546" i="2"/>
  <c r="N546" i="2"/>
  <c r="J546" i="2"/>
  <c r="F546" i="2"/>
  <c r="W536" i="2"/>
  <c r="S536" i="2"/>
  <c r="O536" i="2"/>
  <c r="K536" i="2"/>
  <c r="G536" i="2"/>
  <c r="V531" i="2"/>
  <c r="R531" i="2"/>
  <c r="N531" i="2"/>
  <c r="J531" i="2"/>
  <c r="F531" i="2"/>
  <c r="V508" i="2"/>
  <c r="R508" i="2"/>
  <c r="N508" i="2"/>
  <c r="J508" i="2"/>
  <c r="F508" i="2"/>
  <c r="W492" i="2"/>
  <c r="W491" i="2" s="1"/>
  <c r="S492" i="2"/>
  <c r="S491" i="2" s="1"/>
  <c r="O492" i="2"/>
  <c r="O491" i="2" s="1"/>
  <c r="K492" i="2"/>
  <c r="K491" i="2" s="1"/>
  <c r="G492" i="2"/>
  <c r="G491" i="2" s="1"/>
  <c r="X479" i="2"/>
  <c r="T479" i="2"/>
  <c r="P479" i="2"/>
  <c r="L479" i="2"/>
  <c r="H479" i="2"/>
  <c r="X468" i="2"/>
  <c r="T468" i="2"/>
  <c r="T467" i="2" s="1"/>
  <c r="P468" i="2"/>
  <c r="P467" i="2" s="1"/>
  <c r="L468" i="2"/>
  <c r="L467" i="2" s="1"/>
  <c r="H468" i="2"/>
  <c r="H467" i="2" s="1"/>
  <c r="S460" i="2"/>
  <c r="K460" i="2"/>
  <c r="X445" i="2"/>
  <c r="X429" i="2" s="1"/>
  <c r="T445" i="2"/>
  <c r="P445" i="2"/>
  <c r="L445" i="2"/>
  <c r="H445" i="2"/>
  <c r="X430" i="2"/>
  <c r="T430" i="2"/>
  <c r="T429" i="2" s="1"/>
  <c r="P430" i="2"/>
  <c r="L430" i="2"/>
  <c r="H430" i="2"/>
  <c r="X424" i="2"/>
  <c r="T424" i="2"/>
  <c r="P424" i="2"/>
  <c r="P418" i="2" s="1"/>
  <c r="L424" i="2"/>
  <c r="H424" i="2"/>
  <c r="X419" i="2"/>
  <c r="T419" i="2"/>
  <c r="P419" i="2"/>
  <c r="X297" i="2"/>
  <c r="X296" i="2" s="1"/>
  <c r="T297" i="2"/>
  <c r="T296" i="2" s="1"/>
  <c r="P297" i="2"/>
  <c r="P296" i="2" s="1"/>
  <c r="L297" i="2"/>
  <c r="L296" i="2" s="1"/>
  <c r="H297" i="2"/>
  <c r="H296" i="2" s="1"/>
  <c r="U100" i="2"/>
  <c r="U99" i="2" s="1"/>
  <c r="Q100" i="2"/>
  <c r="M100" i="2"/>
  <c r="M99" i="2" s="1"/>
  <c r="I100" i="2"/>
  <c r="I99" i="2" s="1"/>
  <c r="E100" i="2"/>
  <c r="E99" i="2" s="1"/>
  <c r="W408" i="2"/>
  <c r="S408" i="2"/>
  <c r="O408" i="2"/>
  <c r="K408" i="2"/>
  <c r="G408" i="2"/>
  <c r="J401" i="2"/>
  <c r="F401" i="2"/>
  <c r="V394" i="2"/>
  <c r="R394" i="2"/>
  <c r="N394" i="2"/>
  <c r="J394" i="2"/>
  <c r="F394" i="2"/>
  <c r="V389" i="2"/>
  <c r="R389" i="2"/>
  <c r="N389" i="2"/>
  <c r="J389" i="2"/>
  <c r="F389" i="2"/>
  <c r="V363" i="2"/>
  <c r="R363" i="2"/>
  <c r="N363" i="2"/>
  <c r="J363" i="2"/>
  <c r="F363" i="2"/>
  <c r="V358" i="2"/>
  <c r="R358" i="2"/>
  <c r="N358" i="2"/>
  <c r="J358" i="2"/>
  <c r="F358" i="2"/>
  <c r="W347" i="2"/>
  <c r="S347" i="2"/>
  <c r="O347" i="2"/>
  <c r="K347" i="2"/>
  <c r="G347" i="2"/>
  <c r="X334" i="2"/>
  <c r="T334" i="2"/>
  <c r="P334" i="2"/>
  <c r="L334" i="2"/>
  <c r="H334" i="2"/>
  <c r="W297" i="2"/>
  <c r="W296" i="2" s="1"/>
  <c r="S297" i="2"/>
  <c r="S296" i="2" s="1"/>
  <c r="O297" i="2"/>
  <c r="O296" i="2" s="1"/>
  <c r="K297" i="2"/>
  <c r="K296" i="2" s="1"/>
  <c r="G297" i="2"/>
  <c r="G296" i="2" s="1"/>
  <c r="V276" i="2"/>
  <c r="V275" i="2" s="1"/>
  <c r="R276" i="2"/>
  <c r="R275" i="2" s="1"/>
  <c r="N276" i="2"/>
  <c r="N275" i="2" s="1"/>
  <c r="J276" i="2"/>
  <c r="J275" i="2" s="1"/>
  <c r="F276" i="2"/>
  <c r="F275" i="2" s="1"/>
  <c r="U153" i="2"/>
  <c r="Q153" i="2"/>
  <c r="M153" i="2"/>
  <c r="I153" i="2"/>
  <c r="E153" i="2"/>
  <c r="W65" i="2"/>
  <c r="S65" i="2"/>
  <c r="O65" i="2"/>
  <c r="K65" i="2"/>
  <c r="G65" i="2"/>
  <c r="N408" i="2"/>
  <c r="J408" i="2"/>
  <c r="U401" i="2"/>
  <c r="Q401" i="2"/>
  <c r="M401" i="2"/>
  <c r="I401" i="2"/>
  <c r="E401" i="2"/>
  <c r="U394" i="2"/>
  <c r="Q394" i="2"/>
  <c r="M394" i="2"/>
  <c r="I394" i="2"/>
  <c r="E394" i="2"/>
  <c r="U389" i="2"/>
  <c r="Q389" i="2"/>
  <c r="M389" i="2"/>
  <c r="I389" i="2"/>
  <c r="E389" i="2"/>
  <c r="U363" i="2"/>
  <c r="Q363" i="2"/>
  <c r="M363" i="2"/>
  <c r="I363" i="2"/>
  <c r="E363" i="2"/>
  <c r="U358" i="2"/>
  <c r="Q358" i="2"/>
  <c r="M358" i="2"/>
  <c r="I358" i="2"/>
  <c r="E358" i="2"/>
  <c r="V347" i="2"/>
  <c r="R347" i="2"/>
  <c r="N347" i="2"/>
  <c r="J347" i="2"/>
  <c r="F347" i="2"/>
  <c r="W334" i="2"/>
  <c r="S334" i="2"/>
  <c r="O334" i="2"/>
  <c r="K334" i="2"/>
  <c r="G334" i="2"/>
  <c r="V297" i="2"/>
  <c r="V296" i="2" s="1"/>
  <c r="R297" i="2"/>
  <c r="R296" i="2" s="1"/>
  <c r="N297" i="2"/>
  <c r="N296" i="2" s="1"/>
  <c r="J297" i="2"/>
  <c r="J296" i="2" s="1"/>
  <c r="F297" i="2"/>
  <c r="F296" i="2" s="1"/>
  <c r="Q276" i="2"/>
  <c r="Q275" i="2" s="1"/>
  <c r="M276" i="2"/>
  <c r="M275" i="2" s="1"/>
  <c r="I276" i="2"/>
  <c r="I275" i="2" s="1"/>
  <c r="S231" i="2"/>
  <c r="V193" i="2"/>
  <c r="V192" i="2" s="1"/>
  <c r="R193" i="2"/>
  <c r="R192" i="2" s="1"/>
  <c r="N193" i="2"/>
  <c r="N192" i="2" s="1"/>
  <c r="J193" i="2"/>
  <c r="J192" i="2" s="1"/>
  <c r="F193" i="2"/>
  <c r="F192" i="2" s="1"/>
  <c r="V74" i="2"/>
  <c r="R74" i="2"/>
  <c r="N74" i="2"/>
  <c r="J74" i="2"/>
  <c r="F74" i="2"/>
  <c r="L419" i="2"/>
  <c r="H419" i="2"/>
  <c r="U408" i="2"/>
  <c r="Q408" i="2"/>
  <c r="M408" i="2"/>
  <c r="I408" i="2"/>
  <c r="E408" i="2"/>
  <c r="X401" i="2"/>
  <c r="T401" i="2"/>
  <c r="P401" i="2"/>
  <c r="L401" i="2"/>
  <c r="H401" i="2"/>
  <c r="X394" i="2"/>
  <c r="T394" i="2"/>
  <c r="P394" i="2"/>
  <c r="L394" i="2"/>
  <c r="H394" i="2"/>
  <c r="X389" i="2"/>
  <c r="T389" i="2"/>
  <c r="P389" i="2"/>
  <c r="L389" i="2"/>
  <c r="H389" i="2"/>
  <c r="X363" i="2"/>
  <c r="T363" i="2"/>
  <c r="P363" i="2"/>
  <c r="L363" i="2"/>
  <c r="H363" i="2"/>
  <c r="X358" i="2"/>
  <c r="T358" i="2"/>
  <c r="P358" i="2"/>
  <c r="L358" i="2"/>
  <c r="H358" i="2"/>
  <c r="M347" i="2"/>
  <c r="I347" i="2"/>
  <c r="V334" i="2"/>
  <c r="R334" i="2"/>
  <c r="N334" i="2"/>
  <c r="J334" i="2"/>
  <c r="F334" i="2"/>
  <c r="U297" i="2"/>
  <c r="U296" i="2" s="1"/>
  <c r="Q297" i="2"/>
  <c r="Q296" i="2" s="1"/>
  <c r="M297" i="2"/>
  <c r="M296" i="2" s="1"/>
  <c r="I297" i="2"/>
  <c r="I296" i="2" s="1"/>
  <c r="E297" i="2"/>
  <c r="E296" i="2" s="1"/>
  <c r="X276" i="2"/>
  <c r="X275" i="2" s="1"/>
  <c r="T276" i="2"/>
  <c r="T275" i="2" s="1"/>
  <c r="P276" i="2"/>
  <c r="P275" i="2" s="1"/>
  <c r="L276" i="2"/>
  <c r="L275" i="2" s="1"/>
  <c r="H276" i="2"/>
  <c r="H275" i="2" s="1"/>
  <c r="U275" i="2"/>
  <c r="Q267" i="2"/>
  <c r="M267" i="2"/>
  <c r="U220" i="2"/>
  <c r="U216" i="2" s="1"/>
  <c r="Q220" i="2"/>
  <c r="M220" i="2"/>
  <c r="M216" i="2" s="1"/>
  <c r="I220" i="2"/>
  <c r="I216" i="2" s="1"/>
  <c r="E220" i="2"/>
  <c r="E216" i="2" s="1"/>
  <c r="U123" i="2"/>
  <c r="U122" i="2" s="1"/>
  <c r="Q123" i="2"/>
  <c r="Q122" i="2" s="1"/>
  <c r="M123" i="2"/>
  <c r="M122" i="2" s="1"/>
  <c r="I123" i="2"/>
  <c r="I122" i="2" s="1"/>
  <c r="E123" i="2"/>
  <c r="E122" i="2" s="1"/>
  <c r="X87" i="2"/>
  <c r="P87" i="2"/>
  <c r="L87" i="2"/>
  <c r="H87" i="2"/>
  <c r="V46" i="2"/>
  <c r="V45" i="2" s="1"/>
  <c r="R46" i="2"/>
  <c r="R45" i="2" s="1"/>
  <c r="N46" i="2"/>
  <c r="N45" i="2" s="1"/>
  <c r="J46" i="2"/>
  <c r="J45" i="2" s="1"/>
  <c r="F46" i="2"/>
  <c r="F45" i="2" s="1"/>
  <c r="X9" i="2"/>
  <c r="X8" i="2" s="1"/>
  <c r="T9" i="2"/>
  <c r="T8" i="2" s="1"/>
  <c r="P9" i="2"/>
  <c r="P8" i="2" s="1"/>
  <c r="P7" i="2" s="1"/>
  <c r="H9" i="2"/>
  <c r="H8" i="2" s="1"/>
  <c r="W267" i="2"/>
  <c r="S267" i="2"/>
  <c r="O267" i="2"/>
  <c r="K267" i="2"/>
  <c r="G267" i="2"/>
  <c r="W243" i="2"/>
  <c r="W242" i="2" s="1"/>
  <c r="K243" i="2"/>
  <c r="K242" i="2" s="1"/>
  <c r="G243" i="2"/>
  <c r="G242" i="2" s="1"/>
  <c r="X220" i="2"/>
  <c r="X216" i="2" s="1"/>
  <c r="T220" i="2"/>
  <c r="T216" i="2" s="1"/>
  <c r="P220" i="2"/>
  <c r="P216" i="2" s="1"/>
  <c r="L220" i="2"/>
  <c r="L216" i="2" s="1"/>
  <c r="H220" i="2"/>
  <c r="H216" i="2" s="1"/>
  <c r="S203" i="2"/>
  <c r="S202" i="2" s="1"/>
  <c r="U193" i="2"/>
  <c r="U192" i="2" s="1"/>
  <c r="Q193" i="2"/>
  <c r="Q192" i="2" s="1"/>
  <c r="M193" i="2"/>
  <c r="M192" i="2" s="1"/>
  <c r="I193" i="2"/>
  <c r="I192" i="2" s="1"/>
  <c r="E193" i="2"/>
  <c r="E192" i="2" s="1"/>
  <c r="X153" i="2"/>
  <c r="T153" i="2"/>
  <c r="P153" i="2"/>
  <c r="L153" i="2"/>
  <c r="L141" i="2" s="1"/>
  <c r="H153" i="2"/>
  <c r="U142" i="2"/>
  <c r="Q142" i="2"/>
  <c r="X123" i="2"/>
  <c r="X122" i="2" s="1"/>
  <c r="T123" i="2"/>
  <c r="T122" i="2" s="1"/>
  <c r="P123" i="2"/>
  <c r="P122" i="2" s="1"/>
  <c r="L123" i="2"/>
  <c r="L122" i="2" s="1"/>
  <c r="H123" i="2"/>
  <c r="H122" i="2" s="1"/>
  <c r="X100" i="2"/>
  <c r="X99" i="2" s="1"/>
  <c r="T100" i="2"/>
  <c r="T99" i="2" s="1"/>
  <c r="P100" i="2"/>
  <c r="P99" i="2" s="1"/>
  <c r="L100" i="2"/>
  <c r="L99" i="2" s="1"/>
  <c r="H100" i="2"/>
  <c r="H99" i="2" s="1"/>
  <c r="V92" i="2"/>
  <c r="N92" i="2"/>
  <c r="F92" i="2"/>
  <c r="U74" i="2"/>
  <c r="Q74" i="2"/>
  <c r="M74" i="2"/>
  <c r="I74" i="2"/>
  <c r="E74" i="2"/>
  <c r="V65" i="2"/>
  <c r="R65" i="2"/>
  <c r="N65" i="2"/>
  <c r="J65" i="2"/>
  <c r="F65" i="2"/>
  <c r="U46" i="2"/>
  <c r="U45" i="2" s="1"/>
  <c r="Q46" i="2"/>
  <c r="Q45" i="2" s="1"/>
  <c r="M46" i="2"/>
  <c r="M45" i="2" s="1"/>
  <c r="I46" i="2"/>
  <c r="I45" i="2" s="1"/>
  <c r="E46" i="2"/>
  <c r="E45" i="2" s="1"/>
  <c r="W9" i="2"/>
  <c r="W8" i="2" s="1"/>
  <c r="S9" i="2"/>
  <c r="S8" i="2" s="1"/>
  <c r="O9" i="2"/>
  <c r="K9" i="2"/>
  <c r="K8" i="2" s="1"/>
  <c r="G9" i="2"/>
  <c r="G8" i="2" s="1"/>
  <c r="V243" i="2"/>
  <c r="V242" i="2" s="1"/>
  <c r="R243" i="2"/>
  <c r="R242" i="2" s="1"/>
  <c r="J243" i="2"/>
  <c r="J242" i="2" s="1"/>
  <c r="F243" i="2"/>
  <c r="F242" i="2" s="1"/>
  <c r="R231" i="2"/>
  <c r="J231" i="2"/>
  <c r="W220" i="2"/>
  <c r="W216" i="2" s="1"/>
  <c r="S220" i="2"/>
  <c r="S216" i="2" s="1"/>
  <c r="G220" i="2"/>
  <c r="G216" i="2" s="1"/>
  <c r="V203" i="2"/>
  <c r="V202" i="2" s="1"/>
  <c r="R203" i="2"/>
  <c r="R202" i="2" s="1"/>
  <c r="N203" i="2"/>
  <c r="N202" i="2" s="1"/>
  <c r="J203" i="2"/>
  <c r="J202" i="2" s="1"/>
  <c r="F203" i="2"/>
  <c r="F202" i="2" s="1"/>
  <c r="X193" i="2"/>
  <c r="X192" i="2" s="1"/>
  <c r="T193" i="2"/>
  <c r="T192" i="2" s="1"/>
  <c r="P193" i="2"/>
  <c r="P192" i="2" s="1"/>
  <c r="L193" i="2"/>
  <c r="L192" i="2" s="1"/>
  <c r="H193" i="2"/>
  <c r="H192" i="2" s="1"/>
  <c r="W153" i="2"/>
  <c r="S153" i="2"/>
  <c r="K153" i="2"/>
  <c r="G153" i="2"/>
  <c r="X142" i="2"/>
  <c r="T142" i="2"/>
  <c r="P142" i="2"/>
  <c r="H142" i="2"/>
  <c r="W123" i="2"/>
  <c r="W122" i="2" s="1"/>
  <c r="S123" i="2"/>
  <c r="S122" i="2" s="1"/>
  <c r="O123" i="2"/>
  <c r="O122" i="2" s="1"/>
  <c r="K123" i="2"/>
  <c r="K122" i="2" s="1"/>
  <c r="G123" i="2"/>
  <c r="G122" i="2" s="1"/>
  <c r="W100" i="2"/>
  <c r="W99" i="2" s="1"/>
  <c r="S100" i="2"/>
  <c r="S99" i="2" s="1"/>
  <c r="O100" i="2"/>
  <c r="O99" i="2" s="1"/>
  <c r="K100" i="2"/>
  <c r="K99" i="2" s="1"/>
  <c r="G100" i="2"/>
  <c r="G99" i="2" s="1"/>
  <c r="X74" i="2"/>
  <c r="U65" i="2"/>
  <c r="Q65" i="2"/>
  <c r="M65" i="2"/>
  <c r="I65" i="2"/>
  <c r="E65" i="2"/>
  <c r="X46" i="2"/>
  <c r="X45" i="2" s="1"/>
  <c r="T46" i="2"/>
  <c r="T45" i="2" s="1"/>
  <c r="H46" i="2"/>
  <c r="H45" i="2" s="1"/>
  <c r="V9" i="2"/>
  <c r="V8" i="2" s="1"/>
  <c r="R9" i="2"/>
  <c r="R8" i="2" s="1"/>
  <c r="R7" i="2" s="1"/>
  <c r="N9" i="2"/>
  <c r="N8" i="2" s="1"/>
  <c r="J9" i="2"/>
  <c r="J8" i="2" s="1"/>
  <c r="F9" i="2"/>
  <c r="F8" i="2" s="1"/>
  <c r="I243" i="2"/>
  <c r="I242" i="2" s="1"/>
  <c r="V220" i="2"/>
  <c r="V216" i="2" s="1"/>
  <c r="R220" i="2"/>
  <c r="R216" i="2" s="1"/>
  <c r="N220" i="2"/>
  <c r="N216" i="2" s="1"/>
  <c r="J220" i="2"/>
  <c r="J216" i="2" s="1"/>
  <c r="F220" i="2"/>
  <c r="F216" i="2" s="1"/>
  <c r="U203" i="2"/>
  <c r="U202" i="2" s="1"/>
  <c r="Q203" i="2"/>
  <c r="Q202" i="2" s="1"/>
  <c r="M203" i="2"/>
  <c r="M202" i="2" s="1"/>
  <c r="I203" i="2"/>
  <c r="I202" i="2" s="1"/>
  <c r="E203" i="2"/>
  <c r="E202" i="2" s="1"/>
  <c r="W193" i="2"/>
  <c r="W192" i="2" s="1"/>
  <c r="S193" i="2"/>
  <c r="S192" i="2" s="1"/>
  <c r="K193" i="2"/>
  <c r="K192" i="2" s="1"/>
  <c r="G193" i="2"/>
  <c r="G192" i="2" s="1"/>
  <c r="V153" i="2"/>
  <c r="R153" i="2"/>
  <c r="N153" i="2"/>
  <c r="J153" i="2"/>
  <c r="F153" i="2"/>
  <c r="S142" i="2"/>
  <c r="N123" i="2"/>
  <c r="N122" i="2" s="1"/>
  <c r="J123" i="2"/>
  <c r="J122" i="2" s="1"/>
  <c r="V100" i="2"/>
  <c r="V99" i="2" s="1"/>
  <c r="N100" i="2"/>
  <c r="N99" i="2" s="1"/>
  <c r="J100" i="2"/>
  <c r="J99" i="2" s="1"/>
  <c r="F100" i="2"/>
  <c r="F99" i="2" s="1"/>
  <c r="U87" i="2"/>
  <c r="W74" i="2"/>
  <c r="S74" i="2"/>
  <c r="O74" i="2"/>
  <c r="K74" i="2"/>
  <c r="G74" i="2"/>
  <c r="X65" i="2"/>
  <c r="T65" i="2"/>
  <c r="P65" i="2"/>
  <c r="H65" i="2"/>
  <c r="W46" i="2"/>
  <c r="W45" i="2" s="1"/>
  <c r="S46" i="2"/>
  <c r="S45" i="2" s="1"/>
  <c r="O46" i="2"/>
  <c r="O45" i="2" s="1"/>
  <c r="K46" i="2"/>
  <c r="K45" i="2" s="1"/>
  <c r="G46" i="2"/>
  <c r="G45" i="2" s="1"/>
  <c r="U9" i="2"/>
  <c r="U8" i="2" s="1"/>
  <c r="Q9" i="2"/>
  <c r="Q8" i="2" s="1"/>
  <c r="M9" i="2"/>
  <c r="M8" i="2" s="1"/>
  <c r="M7" i="2" s="1"/>
  <c r="I9" i="2"/>
  <c r="I8" i="2" s="1"/>
  <c r="I7" i="2" s="1"/>
  <c r="E9" i="2"/>
  <c r="E8" i="2" s="1"/>
  <c r="X592" i="2"/>
  <c r="P592" i="2"/>
  <c r="H491" i="2"/>
  <c r="S592" i="2"/>
  <c r="G592" i="2"/>
  <c r="L491" i="2"/>
  <c r="O592" i="2"/>
  <c r="H592" i="2"/>
  <c r="W592" i="2"/>
  <c r="K592" i="2"/>
  <c r="W479" i="2"/>
  <c r="S479" i="2"/>
  <c r="O479" i="2"/>
  <c r="K479" i="2"/>
  <c r="G479" i="2"/>
  <c r="J467" i="2"/>
  <c r="F467" i="2"/>
  <c r="V430" i="2"/>
  <c r="V429" i="2" s="1"/>
  <c r="R430" i="2"/>
  <c r="J430" i="2"/>
  <c r="J429" i="2" s="1"/>
  <c r="F430" i="2"/>
  <c r="V592" i="2"/>
  <c r="R592" i="2"/>
  <c r="N592" i="2"/>
  <c r="J592" i="2"/>
  <c r="F592" i="2"/>
  <c r="U468" i="2"/>
  <c r="U467" i="2" s="1"/>
  <c r="Q468" i="2"/>
  <c r="Q467" i="2" s="1"/>
  <c r="M468" i="2"/>
  <c r="M467" i="2" s="1"/>
  <c r="E468" i="2"/>
  <c r="E467" i="2" s="1"/>
  <c r="J460" i="2"/>
  <c r="U592" i="2"/>
  <c r="Q592" i="2"/>
  <c r="M592" i="2"/>
  <c r="I592" i="2"/>
  <c r="E592" i="2"/>
  <c r="W546" i="2"/>
  <c r="S546" i="2"/>
  <c r="N491" i="2"/>
  <c r="U479" i="2"/>
  <c r="Q479" i="2"/>
  <c r="M479" i="2"/>
  <c r="I479" i="2"/>
  <c r="E479" i="2"/>
  <c r="R460" i="2"/>
  <c r="G460" i="2"/>
  <c r="F418" i="2"/>
  <c r="X467" i="2"/>
  <c r="Q429" i="2"/>
  <c r="I267" i="2"/>
  <c r="V401" i="2"/>
  <c r="R401" i="2"/>
  <c r="N401" i="2"/>
  <c r="W142" i="2"/>
  <c r="O142" i="2"/>
  <c r="O141" i="2" s="1"/>
  <c r="K142" i="2"/>
  <c r="K141" i="2" s="1"/>
  <c r="G142" i="2"/>
  <c r="W275" i="2"/>
  <c r="S275" i="2"/>
  <c r="G275" i="2"/>
  <c r="V267" i="2"/>
  <c r="R267" i="2"/>
  <c r="N267" i="2"/>
  <c r="J267" i="2"/>
  <c r="F267" i="2"/>
  <c r="G231" i="2"/>
  <c r="U243" i="2"/>
  <c r="U242" i="2" s="1"/>
  <c r="Q243" i="2"/>
  <c r="Q242" i="2" s="1"/>
  <c r="M243" i="2"/>
  <c r="M242" i="2" s="1"/>
  <c r="E243" i="2"/>
  <c r="E242" i="2" s="1"/>
  <c r="V231" i="2"/>
  <c r="N231" i="2"/>
  <c r="F231" i="2"/>
  <c r="X243" i="2"/>
  <c r="X242" i="2" s="1"/>
  <c r="T243" i="2"/>
  <c r="T242" i="2" s="1"/>
  <c r="P243" i="2"/>
  <c r="P242" i="2" s="1"/>
  <c r="L243" i="2"/>
  <c r="L242" i="2" s="1"/>
  <c r="H243" i="2"/>
  <c r="H242" i="2" s="1"/>
  <c r="U231" i="2"/>
  <c r="Q231" i="2"/>
  <c r="M231" i="2"/>
  <c r="I231" i="2"/>
  <c r="E231" i="2"/>
  <c r="Q216" i="2"/>
  <c r="X231" i="2"/>
  <c r="T231" i="2"/>
  <c r="P231" i="2"/>
  <c r="L231" i="2"/>
  <c r="H231" i="2"/>
  <c r="R99" i="2"/>
  <c r="J92" i="2"/>
  <c r="U92" i="2"/>
  <c r="Q92" i="2"/>
  <c r="M92" i="2"/>
  <c r="I92" i="2"/>
  <c r="E92" i="2"/>
  <c r="L7" i="2"/>
  <c r="M142" i="2"/>
  <c r="I142" i="2"/>
  <c r="E142" i="2"/>
  <c r="Q99" i="2"/>
  <c r="X92" i="2"/>
  <c r="T92" i="2"/>
  <c r="P92" i="2"/>
  <c r="L92" i="2"/>
  <c r="H92" i="2"/>
  <c r="V87" i="2"/>
  <c r="R87" i="2"/>
  <c r="N87" i="2"/>
  <c r="J87" i="2"/>
  <c r="F87" i="2"/>
  <c r="T74" i="2"/>
  <c r="P74" i="2"/>
  <c r="L74" i="2"/>
  <c r="W92" i="2"/>
  <c r="S92" i="2"/>
  <c r="O92" i="2"/>
  <c r="K92" i="2"/>
  <c r="G92" i="2"/>
  <c r="Q87" i="2"/>
  <c r="M87" i="2"/>
  <c r="I87" i="2"/>
  <c r="E87" i="2"/>
  <c r="O8" i="2"/>
  <c r="O7" i="2" s="1"/>
  <c r="W87" i="2"/>
  <c r="S87" i="2"/>
  <c r="O87" i="2"/>
  <c r="K87" i="2"/>
  <c r="G87" i="2"/>
  <c r="V64" i="2"/>
  <c r="X333" i="2" l="1"/>
  <c r="X332" i="2" s="1"/>
  <c r="T64" i="2"/>
  <c r="W507" i="2"/>
  <c r="F429" i="2"/>
  <c r="J333" i="2"/>
  <c r="J332" i="2" s="1"/>
  <c r="T266" i="2"/>
  <c r="T418" i="2"/>
  <c r="L429" i="2"/>
  <c r="E429" i="2"/>
  <c r="U429" i="2"/>
  <c r="U333" i="2"/>
  <c r="U332" i="2" s="1"/>
  <c r="F7" i="2"/>
  <c r="V7" i="2"/>
  <c r="H141" i="2"/>
  <c r="E418" i="2"/>
  <c r="U418" i="2"/>
  <c r="M429" i="2"/>
  <c r="J64" i="2"/>
  <c r="U64" i="2"/>
  <c r="K7" i="2"/>
  <c r="N333" i="2"/>
  <c r="N332" i="2" s="1"/>
  <c r="I333" i="2"/>
  <c r="I332" i="2" s="1"/>
  <c r="J373" i="2"/>
  <c r="F373" i="2"/>
  <c r="F372" i="2" s="1"/>
  <c r="H418" i="2"/>
  <c r="X418" i="2"/>
  <c r="P429" i="2"/>
  <c r="F507" i="2"/>
  <c r="F506" i="2" s="1"/>
  <c r="V507" i="2"/>
  <c r="V506" i="2" s="1"/>
  <c r="R507" i="2"/>
  <c r="J507" i="2"/>
  <c r="J506" i="2" s="1"/>
  <c r="I429" i="2"/>
  <c r="X507" i="2"/>
  <c r="O266" i="2"/>
  <c r="H551" i="2"/>
  <c r="H506" i="2" s="1"/>
  <c r="O64" i="2"/>
  <c r="S7" i="2"/>
  <c r="V373" i="2"/>
  <c r="V372" i="2" s="1"/>
  <c r="R429" i="2"/>
  <c r="S141" i="2"/>
  <c r="R141" i="2"/>
  <c r="J7" i="2"/>
  <c r="M266" i="2"/>
  <c r="G418" i="2"/>
  <c r="I141" i="2"/>
  <c r="R266" i="2"/>
  <c r="W141" i="2"/>
  <c r="E333" i="2"/>
  <c r="E332" i="2" s="1"/>
  <c r="X551" i="2"/>
  <c r="K551" i="2"/>
  <c r="K506" i="2" s="1"/>
  <c r="K418" i="2"/>
  <c r="O551" i="2"/>
  <c r="I551" i="2"/>
  <c r="L333" i="2"/>
  <c r="L332" i="2" s="1"/>
  <c r="S333" i="2"/>
  <c r="S332" i="2" s="1"/>
  <c r="L551" i="2"/>
  <c r="J551" i="2"/>
  <c r="S373" i="2"/>
  <c r="J418" i="2"/>
  <c r="T507" i="2"/>
  <c r="P333" i="2"/>
  <c r="P332" i="2" s="1"/>
  <c r="H266" i="2"/>
  <c r="H64" i="2"/>
  <c r="X7" i="2"/>
  <c r="H333" i="2"/>
  <c r="H332" i="2" s="1"/>
  <c r="P373" i="2"/>
  <c r="H373" i="2"/>
  <c r="X373" i="2"/>
  <c r="I373" i="2"/>
  <c r="R373" i="2"/>
  <c r="L266" i="2"/>
  <c r="H429" i="2"/>
  <c r="N507" i="2"/>
  <c r="U266" i="2"/>
  <c r="Q333" i="2"/>
  <c r="Q332" i="2" s="1"/>
  <c r="G507" i="2"/>
  <c r="E266" i="2"/>
  <c r="P266" i="2"/>
  <c r="O333" i="2"/>
  <c r="O332" i="2" s="1"/>
  <c r="O507" i="2"/>
  <c r="O506" i="2" s="1"/>
  <c r="W373" i="2"/>
  <c r="L507" i="2"/>
  <c r="S64" i="2"/>
  <c r="M141" i="2"/>
  <c r="S266" i="2"/>
  <c r="M64" i="2"/>
  <c r="G141" i="2"/>
  <c r="X141" i="2"/>
  <c r="J141" i="2"/>
  <c r="S429" i="2"/>
  <c r="G551" i="2"/>
  <c r="E551" i="2"/>
  <c r="W429" i="2"/>
  <c r="G429" i="2"/>
  <c r="U551" i="2"/>
  <c r="T551" i="2"/>
  <c r="T506" i="2" s="1"/>
  <c r="K333" i="2"/>
  <c r="K332" i="2" s="1"/>
  <c r="V333" i="2"/>
  <c r="V332" i="2" s="1"/>
  <c r="X506" i="2"/>
  <c r="G64" i="2"/>
  <c r="G63" i="2" s="1"/>
  <c r="W266" i="2"/>
  <c r="J266" i="2"/>
  <c r="G266" i="2"/>
  <c r="E7" i="2"/>
  <c r="U7" i="2"/>
  <c r="P141" i="2"/>
  <c r="F64" i="2"/>
  <c r="F63" i="2" s="1"/>
  <c r="U141" i="2"/>
  <c r="M418" i="2"/>
  <c r="F333" i="2"/>
  <c r="F332" i="2" s="1"/>
  <c r="M333" i="2"/>
  <c r="M332" i="2" s="1"/>
  <c r="W64" i="2"/>
  <c r="L64" i="2"/>
  <c r="L63" i="2" s="1"/>
  <c r="H63" i="2"/>
  <c r="W506" i="2"/>
  <c r="Q7" i="2"/>
  <c r="Q141" i="2"/>
  <c r="K64" i="2"/>
  <c r="Q64" i="2"/>
  <c r="P64" i="2"/>
  <c r="N64" i="2"/>
  <c r="E141" i="2"/>
  <c r="O63" i="2"/>
  <c r="E64" i="2"/>
  <c r="N266" i="2"/>
  <c r="K266" i="2"/>
  <c r="X64" i="2"/>
  <c r="X63" i="2" s="1"/>
  <c r="N141" i="2"/>
  <c r="N63" i="2" s="1"/>
  <c r="T7" i="2"/>
  <c r="X266" i="2"/>
  <c r="Q266" i="2"/>
  <c r="T333" i="2"/>
  <c r="T332" i="2" s="1"/>
  <c r="L373" i="2"/>
  <c r="T373" i="2"/>
  <c r="T372" i="2" s="1"/>
  <c r="L418" i="2"/>
  <c r="G333" i="2"/>
  <c r="G332" i="2" s="1"/>
  <c r="W333" i="2"/>
  <c r="W332" i="2" s="1"/>
  <c r="R333" i="2"/>
  <c r="R332" i="2" s="1"/>
  <c r="E373" i="2"/>
  <c r="E372" i="2" s="1"/>
  <c r="U373" i="2"/>
  <c r="Q373" i="2"/>
  <c r="M373" i="2"/>
  <c r="P551" i="2"/>
  <c r="P506" i="2" s="1"/>
  <c r="K373" i="2"/>
  <c r="W418" i="2"/>
  <c r="F141" i="2"/>
  <c r="V141" i="2"/>
  <c r="V63" i="2" s="1"/>
  <c r="O373" i="2"/>
  <c r="O372" i="2" s="1"/>
  <c r="O429" i="2"/>
  <c r="Q551" i="2"/>
  <c r="R551" i="2"/>
  <c r="N551" i="2"/>
  <c r="N506" i="2" s="1"/>
  <c r="G373" i="2"/>
  <c r="M551" i="2"/>
  <c r="J372" i="2"/>
  <c r="J63" i="2"/>
  <c r="M507" i="2"/>
  <c r="N373" i="2"/>
  <c r="W372" i="2"/>
  <c r="T141" i="2"/>
  <c r="T63" i="2" s="1"/>
  <c r="I418" i="2"/>
  <c r="I372" i="2" s="1"/>
  <c r="Q507" i="2"/>
  <c r="N7" i="2"/>
  <c r="W7" i="2"/>
  <c r="I266" i="2"/>
  <c r="E507" i="2"/>
  <c r="U507" i="2"/>
  <c r="K63" i="2"/>
  <c r="G7" i="2"/>
  <c r="I64" i="2"/>
  <c r="I63" i="2" s="1"/>
  <c r="R64" i="2"/>
  <c r="R63" i="2" s="1"/>
  <c r="H7" i="2"/>
  <c r="F266" i="2"/>
  <c r="V266" i="2"/>
  <c r="S507" i="2"/>
  <c r="S506" i="2" s="1"/>
  <c r="Q418" i="2"/>
  <c r="Q372" i="2" s="1"/>
  <c r="N418" i="2"/>
  <c r="N429" i="2"/>
  <c r="I507" i="2"/>
  <c r="I506" i="2" s="1"/>
  <c r="P372" i="2"/>
  <c r="M372" i="2"/>
  <c r="H372" i="2"/>
  <c r="M506" i="2" l="1"/>
  <c r="U506" i="2"/>
  <c r="M63" i="2"/>
  <c r="L506" i="2"/>
  <c r="R372" i="2"/>
  <c r="S372" i="2"/>
  <c r="R506" i="2"/>
  <c r="S63" i="2"/>
  <c r="Q506" i="2"/>
  <c r="K372" i="2"/>
  <c r="U372" i="2"/>
  <c r="E63" i="2"/>
  <c r="P63" i="2"/>
  <c r="W63" i="2"/>
  <c r="U63" i="2"/>
  <c r="G506" i="2"/>
  <c r="X372" i="2"/>
  <c r="G372" i="2"/>
  <c r="Q63" i="2"/>
  <c r="E506" i="2"/>
  <c r="L372" i="2"/>
  <c r="N372" i="2"/>
</calcChain>
</file>

<file path=xl/sharedStrings.xml><?xml version="1.0" encoding="utf-8"?>
<sst xmlns="http://schemas.openxmlformats.org/spreadsheetml/2006/main" count="2782" uniqueCount="1542">
  <si>
    <t>Kodas</t>
  </si>
  <si>
    <t>ŠAKIŲ RAJONO SAVIVALDYBĖS ADMINISTRACIJOS 2019 METŲ VEIKLOS PLANO ATASKAITA</t>
  </si>
  <si>
    <t>Vykdytojas</t>
  </si>
  <si>
    <t>Atsakingas (-i) asmuo (-ys)</t>
  </si>
  <si>
    <t>Lėšos biudžetiniams metams</t>
  </si>
  <si>
    <t>Finansavimo lėšos</t>
  </si>
  <si>
    <t>Panaudotos lėšos biudžetiniams metams</t>
  </si>
  <si>
    <t>Efekto /Rezultato /Produkto /Indėlio vertinimo kriterijaus</t>
  </si>
  <si>
    <t>SB</t>
  </si>
  <si>
    <t>SB(IP)</t>
  </si>
  <si>
    <t>SB(AA)</t>
  </si>
  <si>
    <t>SB(D)</t>
  </si>
  <si>
    <t>SP</t>
  </si>
  <si>
    <t>ES</t>
  </si>
  <si>
    <t>VB</t>
  </si>
  <si>
    <t>VIP</t>
  </si>
  <si>
    <t>KT</t>
  </si>
  <si>
    <t>Rodiklis</t>
  </si>
  <si>
    <t>Mato vnt.</t>
  </si>
  <si>
    <t>2019</t>
  </si>
  <si>
    <t>Pastaba</t>
  </si>
  <si>
    <t>Planas</t>
  </si>
  <si>
    <t>Faktas</t>
  </si>
  <si>
    <t>01</t>
  </si>
  <si>
    <t>Mokymosi visą gyvenimą, jaunimo ir sporto programa</t>
  </si>
  <si>
    <t>Švietimo,kultūros ir sporto skyrius</t>
  </si>
  <si>
    <t>Elvydas Pauliukėnas</t>
  </si>
  <si>
    <t>01.01.</t>
  </si>
  <si>
    <t>Tikslas. Švietimo kokybės gerinimas</t>
  </si>
  <si>
    <t>01.01.01</t>
  </si>
  <si>
    <t>Uždavinys. Kompleksiškai modernizuoti, renovuoti švietimo įstaigų mokymo (si) ir ugdymo (si) aplinką ir materialinę bazę (vaikų ir jaunimo ugdymo organizavimas)</t>
  </si>
  <si>
    <t>01.01.01.01.</t>
  </si>
  <si>
    <t>Priemonė. Atnaujinti švietimo įstaigų mokymo priemonių bazę</t>
  </si>
  <si>
    <t>Gaunamų iš Švietimo ir mokslo ministerijos priemonių skaičius</t>
  </si>
  <si>
    <t>vnt</t>
  </si>
  <si>
    <t>200,00</t>
  </si>
  <si>
    <t>243,00</t>
  </si>
  <si>
    <t>01.01.01.01.01</t>
  </si>
  <si>
    <t>Veikla:  Mokymo priemonės mokyklų kabinetams gaunamos iš Švietimo ir mokslo ministerijos</t>
  </si>
  <si>
    <t>01.01.01.02.</t>
  </si>
  <si>
    <t>Priemonė.Dalyvauti „Geltonojo autobusiuko“ programose.</t>
  </si>
  <si>
    <t>Planuojamų gauti transporto priemonių skaičius</t>
  </si>
  <si>
    <t>1,00</t>
  </si>
  <si>
    <t>01.01.01.02.01</t>
  </si>
  <si>
    <t>Veikla:  Įsigyti transporto priemones švietimo įstaigoms</t>
  </si>
  <si>
    <t>01.01.01.03</t>
  </si>
  <si>
    <t>Priemonė. Mokymo reikmėms skirtų lėšų naudojimo programa valdoma administracijoje</t>
  </si>
  <si>
    <t>Administracines lėšas naudojančių įstaigų skaičius</t>
  </si>
  <si>
    <t>0,00</t>
  </si>
  <si>
    <t>21,00</t>
  </si>
  <si>
    <t>Mokymo paslaugas gavusių mokinių skaičius</t>
  </si>
  <si>
    <t>1 500,00</t>
  </si>
  <si>
    <t>01.01.01.03.01</t>
  </si>
  <si>
    <t>Veikla: Egzaminų vykdymas, tarifinių atlygių koeficientų skirtumui išlyginimas, mažiau pasirenktų užsienio kalbų mokymosi finansavimas</t>
  </si>
  <si>
    <t>01.01.01.04</t>
  </si>
  <si>
    <t>Priemonė. Ūkinių išlaidų naudojimo programa valdoma administracijoje</t>
  </si>
  <si>
    <t>Neformaliojo ugdymo programų skaičius</t>
  </si>
  <si>
    <t>19,00</t>
  </si>
  <si>
    <t>01.01.01.04.01</t>
  </si>
  <si>
    <t>Veikla: Neformaliojo ugdymo programų finansavimas</t>
  </si>
  <si>
    <t>01.01.01.05.</t>
  </si>
  <si>
    <t>Priemonė. Mokinių pavėžėjimo programa</t>
  </si>
  <si>
    <t>Mokinių, pavežamų maršrutiniu transportu, skaičius</t>
  </si>
  <si>
    <t>632,00</t>
  </si>
  <si>
    <t>635,00</t>
  </si>
  <si>
    <t>01.01.01.05.01</t>
  </si>
  <si>
    <t>Veikla:  Lėšos, atsiskaitymui su vežėjais už mokinių pavežėjimą</t>
  </si>
  <si>
    <t>01.01.01.07.</t>
  </si>
  <si>
    <t>Priemonė. Rajono reprezentacija mokomųjų dalykų ir neformaliojo ugdymo renginiuose programa</t>
  </si>
  <si>
    <t>Reprezentuojančių rajoną mokinių ir mokytojų skaičius</t>
  </si>
  <si>
    <t>47,00</t>
  </si>
  <si>
    <t>45,00</t>
  </si>
  <si>
    <t>01.01.01.07.01.</t>
  </si>
  <si>
    <t>Veikla:  Lėšos, skirtos švietimo įstaigų išlaidoms padengti, kurių mokiniai reprezentuoja rajoną įvairiuose renginiuose</t>
  </si>
  <si>
    <t>01.01.01.08.</t>
  </si>
  <si>
    <t>Priemonė. Renginių (olimpiadų, konkursų, viktorinų, peržiūrų, švenčių, festivalių, vasaros poilsio) organizavimo, mokinių ir darbuotojų skatinimo programos</t>
  </si>
  <si>
    <t>Vasaros poilsiui mokiniams išpirktų kelialapių skaičius</t>
  </si>
  <si>
    <t>30,00</t>
  </si>
  <si>
    <t>Skirtų premijų šimtukininkams skaičius</t>
  </si>
  <si>
    <t>12,00</t>
  </si>
  <si>
    <t>5,00</t>
  </si>
  <si>
    <t>Mažiau mokinių egzaminus išlaikė šimtukui.</t>
  </si>
  <si>
    <t>Organizuojamų renginių skaičius</t>
  </si>
  <si>
    <t>52,00</t>
  </si>
  <si>
    <t>50,00</t>
  </si>
  <si>
    <t>Dainų šventės pasirengimui įsigytų aprangos komplektų skaičius</t>
  </si>
  <si>
    <t>01.01.01.08.01.</t>
  </si>
  <si>
    <t>Veikla:  Įgyvendinti renginių (olimpiadų, konkursų, viktorinų, peržiūrų, švenčių, festivalių, vasaros poilsio) organizavimo, mokinių ir darbuotojų skatinimo programą</t>
  </si>
  <si>
    <t>01.01.01.09.</t>
  </si>
  <si>
    <t>Priemonė. Aprūpinti švietimo įstaigas metodine literatūra, mokykline dokumentacija</t>
  </si>
  <si>
    <t>Švietimo, mokslo ir sporto ministerijos skirtų leidinių skaičius</t>
  </si>
  <si>
    <t>1 523,00</t>
  </si>
  <si>
    <t>Skaičius sutarčių su leidykla dėl el. knygų skaitymo</t>
  </si>
  <si>
    <t>Sutarčių nebuvo sudaryta, todėl lėšos skirtos leidybai neįsisavintos, perkeltos atgal į biudžetą.</t>
  </si>
  <si>
    <t>Nupirktų mokyklinės dokumentacijos leidinių skaičius</t>
  </si>
  <si>
    <t>700,00</t>
  </si>
  <si>
    <t>730,00</t>
  </si>
  <si>
    <t>01.01.01.09.01.</t>
  </si>
  <si>
    <t>Veikla:  Nupirkti mokyklinės dokumentacijos leidinių</t>
  </si>
  <si>
    <t>01.01.01.09.01</t>
  </si>
  <si>
    <t>Veikla:  Sudaryti sutartis su leidykla dėl el. knygų skaitymo</t>
  </si>
  <si>
    <t>01.01.01.09.02.</t>
  </si>
  <si>
    <t>Veikla:  Skirtų mokslo ir sporto ministerijos leidinių</t>
  </si>
  <si>
    <t>01.01.02.</t>
  </si>
  <si>
    <t>Uždavinys. Tobulinti pedagoginio personalo klvalifikacijos kėlimą ir persikvalifikavimo galimybes.</t>
  </si>
  <si>
    <t>01.01.02.01.</t>
  </si>
  <si>
    <t>Priemonė. Organizuoti kvalifikacijos kėlimo kursus švietimo įstaigų vadovams, pavaduotojams, dakykų mokytojams, mokytojams, dirbantiems neformaliojo švietimo srityje.</t>
  </si>
  <si>
    <t>Suorganizuotų kvalifikacijos kėlimo kursų, švietimo įstaigų vadovams, pavaduotojams skaičius</t>
  </si>
  <si>
    <t>4,00</t>
  </si>
  <si>
    <t>3,00</t>
  </si>
  <si>
    <t>01.01.02.01.01</t>
  </si>
  <si>
    <t>Veikla:  Suorganizuoti kvalifikacijos kėlimo kursus, švietimo įstaigų vadovams, pavaduotojams</t>
  </si>
  <si>
    <t>01.02</t>
  </si>
  <si>
    <t>Tikslas. Švietimo prieinamumas ir paslaugų įvairovė</t>
  </si>
  <si>
    <t>01.02.01.</t>
  </si>
  <si>
    <t>Uždavinys. Plėtoti vaikų ir jaunimo karjeros paslaugas ir neformaliojo ugdymosi galimybes</t>
  </si>
  <si>
    <t>01.02.01.01.</t>
  </si>
  <si>
    <t>Priemonė. Vykdyti ugdymo karjerai ir neformaliojo ugdymo programas mokyklose</t>
  </si>
  <si>
    <t>Mokyklose vykdomų programų skaičius</t>
  </si>
  <si>
    <t>01.02.01.01.01</t>
  </si>
  <si>
    <t>Veikla: Vykdyti neformalio ugdymo ir ugdymo karjeros programas mokyklose</t>
  </si>
  <si>
    <t>01.03.</t>
  </si>
  <si>
    <t>Tikslas. Suaugusiųjų mokymo (si) sistemos, sąlygų ir paskatų plėtojimas</t>
  </si>
  <si>
    <t>01.03.02.</t>
  </si>
  <si>
    <t>Uždavinys. Didinti neformaliojo švietimo prieinamumą ir galimybes</t>
  </si>
  <si>
    <t>01.03.02.02.</t>
  </si>
  <si>
    <t>Priemonė. Vykdyti neformaliojo suaugusiųjų švietimo ir tęstinio mokymosi 2018-2020 m. veiksmų planą</t>
  </si>
  <si>
    <t>Projektų skaičius</t>
  </si>
  <si>
    <t>Priemonė nebuvo vykdyta. Lėšos neįsisavintos, perkeltos atgal į biudžetą.</t>
  </si>
  <si>
    <t>01.03.02.02.02</t>
  </si>
  <si>
    <t>Veikla: Vykdyti projektus pagal neformaliojo suaugusiųjų švietimo veiksmų planą</t>
  </si>
  <si>
    <t>01.04.</t>
  </si>
  <si>
    <t>Tikslas. Sveiko gyvenimo būdo ir sporto propogavimas</t>
  </si>
  <si>
    <t>01.04.01.</t>
  </si>
  <si>
    <t>Uždavinys. Skatinti sporto klubų ir masinių sportinių renginių veiklas</t>
  </si>
  <si>
    <t>01.04.01.01.</t>
  </si>
  <si>
    <t>Priemonė. VŠĮ Šakių krepšinio klubo finansavimo programa.</t>
  </si>
  <si>
    <t>NKL varžybų skaičius</t>
  </si>
  <si>
    <t>53,00</t>
  </si>
  <si>
    <t>01.04.01.01.01</t>
  </si>
  <si>
    <t>Veikla:  Vykdyti VŠĮ Šakių krepšinio klubo finansavimo programą</t>
  </si>
  <si>
    <t>01.04.01.04.</t>
  </si>
  <si>
    <t>Priemonė: įgyvendinti projektą „Neįgaliųjų socialinė integracija per kūno kultūrą ir sportą“</t>
  </si>
  <si>
    <t>Įgyvendinamų neįgaliųjų socialinės integracijos projektų skaičius</t>
  </si>
  <si>
    <t>01.04.01.04.01</t>
  </si>
  <si>
    <t>Veikla:  Neįgaliųjų socialinės integracijos projekto įgynendinimas</t>
  </si>
  <si>
    <t>01.05.</t>
  </si>
  <si>
    <t>Tikslas. Jaunimo politikos įgyvendinimas</t>
  </si>
  <si>
    <t>Jaunimo reikalų koordinatorė</t>
  </si>
  <si>
    <t>Danutė Jurgutienė</t>
  </si>
  <si>
    <t>01.05.01.</t>
  </si>
  <si>
    <t>Uždavinys. Skatinti ir palaikyti jaunimo iniciatyvas.</t>
  </si>
  <si>
    <t>01.05.01.01.</t>
  </si>
  <si>
    <t>Priemonė. Įgyvendinti jaunimo politikos programą</t>
  </si>
  <si>
    <t>Projektų skirtų atvirų jaunimo centrų ir atvirų jaunimo erdvių veiklos finansavimui skaičius</t>
  </si>
  <si>
    <t>Suorganizuotų jaunimo konferencijų, susitikimų, diskusijų  skaičius</t>
  </si>
  <si>
    <t>Bendrafinansuotų nacionalinių ir tarptautinių jaunimo projektų skaičius</t>
  </si>
  <si>
    <t>Iš Jaunimo reikalų departemento prie SADM gautas finansavimas vienam projektui</t>
  </si>
  <si>
    <t>Projektų skirtų jaunimo mokymams, gerosios patirties sklaidai skaičius</t>
  </si>
  <si>
    <t>2,00</t>
  </si>
  <si>
    <t>Skirtų socialinių stipendijų jaunimui skaičius</t>
  </si>
  <si>
    <t>14,00</t>
  </si>
  <si>
    <t>Daugiau pateikta prašymų socialinėms stipendijoms gauti</t>
  </si>
  <si>
    <t>Projektų skirtų jaunimo iniciatyvų skatinimui skaičius</t>
  </si>
  <si>
    <t>13,00</t>
  </si>
  <si>
    <t>15,00</t>
  </si>
  <si>
    <t>Pateikta daugiau kokybiškų paraiškų</t>
  </si>
  <si>
    <t>Jaunimui skirtų premijų skaičius</t>
  </si>
  <si>
    <t>6,00</t>
  </si>
  <si>
    <t>01.05.01.01.01</t>
  </si>
  <si>
    <t>Veikla:  Skatinti jaunimo organizacijų, neformalių jaunimo grupių ir organizacijų, dirbančių su jaunimu, patirties mainų, mokymų, seminarų organizavimą ir kitas iniciatyvas.</t>
  </si>
  <si>
    <t>01.05.01.01.02</t>
  </si>
  <si>
    <t>Veikla:  Viešinti ir populiarinti sėkmingai veikiančias jaunimo organizacijas, jų tikslus, motyvuoti jaunimą dalyvauti įvairiose veiklose, skirti bendrafinansavimą nacionaliniams ir tarptautiniams projektams.</t>
  </si>
  <si>
    <t>01.05.01.01.03</t>
  </si>
  <si>
    <t>Veikla:  Remti gabius jaunuolius, neturinčius galimybių studijuoti dėl materialinių sunkumų, skiriant jiems socialines stipendijas.</t>
  </si>
  <si>
    <t>04.</t>
  </si>
  <si>
    <t>Regioninės plėtros ir bendruomeninių iniciatyvų programa</t>
  </si>
  <si>
    <t>Ūkio,architektūros ir investicijų skyrius</t>
  </si>
  <si>
    <t>Arvydas Šlėderis, Kristina Juodvalkienė</t>
  </si>
  <si>
    <t>04.01.</t>
  </si>
  <si>
    <t xml:space="preserve">Tikslas: Darnaus išteklių naudojimo skatinimas.  </t>
  </si>
  <si>
    <t>04.01.01.</t>
  </si>
  <si>
    <t>Uždavinys: Kompleksiškai plėtoti ir puoselėti  rekreacines teritorijas, želdynus, tvenkinius bei kitas viešąsias erdves, pritaikant jas gyventojų bei verslo poreikiams</t>
  </si>
  <si>
    <t>04.01.01.01.</t>
  </si>
  <si>
    <t>Priemonė: įgyvendinti projektą  “Draugystės parkai -3“</t>
  </si>
  <si>
    <t>Mantas Paketuris</t>
  </si>
  <si>
    <t>Sutvarkytų rekreacinių teritorijų skaičius</t>
  </si>
  <si>
    <t>04.01.01.01.01.</t>
  </si>
  <si>
    <t>Veikla: Projekto darbų vykdymas (želdinių tvarkymo, mažosios architektūros įrengimo, kietosios dangos ir nesurištos dangos takų įrengimo darbai)</t>
  </si>
  <si>
    <t>04.01.01.02.</t>
  </si>
  <si>
    <t>Priemonė: įgyvendinti projektą  “Draugystės parkai - 1“</t>
  </si>
  <si>
    <t>Kristina Juodvalkienė</t>
  </si>
  <si>
    <t>Apdraustų investicijų skaičius</t>
  </si>
  <si>
    <t>04.01.01.02.01</t>
  </si>
  <si>
    <t>Veikla: Apdraustos projekto "Draugystės parkai 1" investicijos, atliekamas priežiūros darbų vykdymas po projekto užbaigimo</t>
  </si>
  <si>
    <t>04.01.01.03.</t>
  </si>
  <si>
    <t>Priemonė: įgyvendinti projektą  „Gelgaudiškio dvaro parko sutvarkymas.“ (V-016)</t>
  </si>
  <si>
    <t>Janina Povilaitytė</t>
  </si>
  <si>
    <t>Parengtų techninių projektų skaičius</t>
  </si>
  <si>
    <t>Priemonės įgyvendinimas nukeltas į 2020 m., kadangi užtruko techninio projekto rengimas, sprendinių derinimai bei atsirado poreikis miškotvarkos projekto parengimui, be kurio negalimas šio techninio projekto parengimo užbaigimas.</t>
  </si>
  <si>
    <t>04.01.01.03.01</t>
  </si>
  <si>
    <t>Veikla: Projekto „Gelgaudiškio dvaro parko sutvarkymas“ istorinių, archeologinių, dendrologinių tyrimų, projektavimo  pirkimas ir  techninio projekto parengimas</t>
  </si>
  <si>
    <t>04.01.01.04.</t>
  </si>
  <si>
    <t xml:space="preserve">Priemonė: įgyvendinti projektą „Gelgaudiškio dvaro sodybos tvenkinių būklės gerinimas“ </t>
  </si>
  <si>
    <t>Irena  Žemaitienė, Rimantas  Vaičiūnas</t>
  </si>
  <si>
    <t>Sutvarkytų tvenkinių skaičius</t>
  </si>
  <si>
    <t>Buvo sutvarkyta 0,44 ha pakrančių apsaugos juostų, atlikta kas ketvirtį vandens kokybės tyrimai.</t>
  </si>
  <si>
    <t>04.01.01.04.01</t>
  </si>
  <si>
    <t>Veikla: Gelgaudiškio dvaro sodybos dviejų tvenkinių vandens laboratorinių tyrimų atlikimas bei apsauginių vandens juostų priežiūra</t>
  </si>
  <si>
    <t>Irena  Žemaitienė</t>
  </si>
  <si>
    <t>04.01.03.</t>
  </si>
  <si>
    <t>Uždavinys: Modernizuoti ir renovuoti viešuosius pastatus</t>
  </si>
  <si>
    <t>04.01.03.01.</t>
  </si>
  <si>
    <t>Priemonė: įgyvendinti projektą ,,Šakių rajono savivaldybės viešųjų pastatų atnaujinimas“ (R-724)</t>
  </si>
  <si>
    <t>Vytautas Mauza</t>
  </si>
  <si>
    <t>Atlikta rangos darbų techninės priežiūros, procentais</t>
  </si>
  <si>
    <t>Proc.</t>
  </si>
  <si>
    <t>20,00</t>
  </si>
  <si>
    <t>Dėl lėšų trūkumo darbai buvo nukelti į 2020 metus.</t>
  </si>
  <si>
    <t>Atliktų projekto darbų ekspertizių skaičius</t>
  </si>
  <si>
    <t>Atlikta rangos darbų, procentais</t>
  </si>
  <si>
    <t>Atlikta autorinių projekto priežiūrų, procentais</t>
  </si>
  <si>
    <t>Nebuvo atliekami rangos darbai.</t>
  </si>
  <si>
    <t>04.01.03.01.01</t>
  </si>
  <si>
    <t>Veikla: Vykdyti Šakių miesto seniūnijos pastato techninę priežiūrą</t>
  </si>
  <si>
    <t>04.01.03.01.02</t>
  </si>
  <si>
    <t>Veikla: Techninio projekto pirkimas ir parengimas</t>
  </si>
  <si>
    <t>04.01.03.01.03</t>
  </si>
  <si>
    <t>Veikla: Techninio projekto ekspertizės pirkimas ir atlikimas</t>
  </si>
  <si>
    <t>04.01.03.01.04</t>
  </si>
  <si>
    <t>Veikla: Įsigyti rangos darbus Šakių m. seniūnijos pastato rekonstrukcijai</t>
  </si>
  <si>
    <t>04.01.03.01.05</t>
  </si>
  <si>
    <t>Veikla: Vykdyti autorinę techninio projekto priežiūrą</t>
  </si>
  <si>
    <t>04.01.03.02.</t>
  </si>
  <si>
    <t>Priemonė: Įgyvendinti priemonę „Atsinaujinančių energijos išteklių (saulės, vėjo, geoterminės energijos, biokuro ar kitų) panaudojimas visuomeninės ir gyvenamosios (įvairių socialinių grupių asmenims) paskirties pastatuose“</t>
  </si>
  <si>
    <t>Aušra Slidziauskienė</t>
  </si>
  <si>
    <t>Įgyvendintų projektų skaičius</t>
  </si>
  <si>
    <t>buvo parengtos 6 projektinės paraiškos, tačiau agentūrai pateiktos tik 5, nes Šakių jaunimo kūrybos ir sporto centras negavo visų reikiamų dokumentų kurie buvo reikalingi prie paraiškos pateikimo.</t>
  </si>
  <si>
    <t>04.01.03.02.01</t>
  </si>
  <si>
    <t>Veikla: Parengti projektų paraiškas</t>
  </si>
  <si>
    <t>04.01.04.</t>
  </si>
  <si>
    <t>Uždavinys: Rengti teritorijų planavimo dokumentus</t>
  </si>
  <si>
    <t>04.01.04.01.</t>
  </si>
  <si>
    <t>Priemonė: Teritorijų planavimo dokumentų rengimas</t>
  </si>
  <si>
    <t>Laima Savukaitienė</t>
  </si>
  <si>
    <t>Parengtų projektų teritorijų planavimo dokumentų skaičius</t>
  </si>
  <si>
    <t>Projektų parengimas nusikėlė į 2020 m., nes 2019 m.buvo renkami duomenys apie teritorijas, vykdomos apklausos kaimų ir seniūnijų teritorijų ribų nustatymo planų parengimui.</t>
  </si>
  <si>
    <t>04.01.04.01.01</t>
  </si>
  <si>
    <t>Veikla: Kaimų ir seniūnijų teritorijų ribų nustatymo plano parengimas</t>
  </si>
  <si>
    <t>04.01.04.02.</t>
  </si>
  <si>
    <t>Priemonė: Plėtoti Geoinformacinės sistemos kūrimą Šakių rajono savivaldybės teritorijoje</t>
  </si>
  <si>
    <t>Mindaugas Kukys</t>
  </si>
  <si>
    <t>Atnaujintų GIS GeoMap programinės įrangos vienetų skaičius</t>
  </si>
  <si>
    <t>04.01.04.02.01</t>
  </si>
  <si>
    <t>Veikla: Įsigyti GIS GeoMap programinės įrangos atnaujinimą</t>
  </si>
  <si>
    <t>04.02.</t>
  </si>
  <si>
    <t>Tikslas: Inžinerinės infrastruktūros modernizavimas.</t>
  </si>
  <si>
    <t>04.02.01.</t>
  </si>
  <si>
    <t>Uždavinys: Plėtoti ir renovuoti viešąsias geriamojo vandens tiekimo ir nuotekų šalinimo sistemas</t>
  </si>
  <si>
    <t>04.02.01.02.</t>
  </si>
  <si>
    <t>Priemonė: įgyvendinti projektą „Privačių namų prijungimas prie centralizuotos nuotekų surinkimo infrastruktūros“</t>
  </si>
  <si>
    <t>Asta  Cikanienė</t>
  </si>
  <si>
    <t>Prijungtų prie centralizuotos nuotekų surinkimo sistemos namų valdų skaičius</t>
  </si>
  <si>
    <t>65,00</t>
  </si>
  <si>
    <t>04.02.01.02.01</t>
  </si>
  <si>
    <t>Veikla: Atlikti projektavimo ir rangos darbus  prijungiant 65 privačias namų valdas prie centralizuotos nuotekų surinkimo sistemos</t>
  </si>
  <si>
    <t>04.02.02.</t>
  </si>
  <si>
    <t xml:space="preserve">Uždavinys: Kurti ir plėtoti pramonės zonas ir subzonas </t>
  </si>
  <si>
    <t>04.02.02.01.</t>
  </si>
  <si>
    <t xml:space="preserve">Priemonė: "Šakių pramonės zonos įrengimas“ / infrastruktūros įrengimo darbai. </t>
  </si>
  <si>
    <t>Parengtų PEZ teritorjų skaičius</t>
  </si>
  <si>
    <t>Buvo planuojama įrengti vandentiekio ir elektros įvadus PEZ teritorijoje esantiems sklypams, tačiau nuspręsta įrengimą atidėti, bei, esant potencialiems investuotojams, atsižvelgti į jų poreikius prieš atliekant įrengimo darbus.</t>
  </si>
  <si>
    <t>04.02.02.01.01</t>
  </si>
  <si>
    <t>Veikla: Vandentiekio ir elektros įvadų įrengimas PEZ teritorijoje esantiems sklypams</t>
  </si>
  <si>
    <t>04.03.</t>
  </si>
  <si>
    <t>Tikslas: Šiuolaikiškos susisiekimo sistemos plėtra.</t>
  </si>
  <si>
    <t>04.03.01.</t>
  </si>
  <si>
    <t>Uždavinys: Modernizuoti ir plėtoti savivaldybės vietinės reikšmės kelius, gatves ir kitas susisiekimo komunikacijas</t>
  </si>
  <si>
    <t>04.03.01.01.</t>
  </si>
  <si>
    <t xml:space="preserve">Priemonė: įgyvendinti projektą „Šakių miesto susisiekimo infrastruktūros modernizavimas" (TID-511) </t>
  </si>
  <si>
    <t>Užsitęsė projektavimo darbai</t>
  </si>
  <si>
    <t>Atliktų projekto ekspertizių skaičius</t>
  </si>
  <si>
    <t>04.03.01.01.01</t>
  </si>
  <si>
    <t>Veikla: Įsigyti techninių projektų parengimo bei projekto vykdymo priežiūros paslaugas projekte numatytoms gatvėms bei pėsčiųjų ir dviračių takams</t>
  </si>
  <si>
    <t>04.03.01.01.02</t>
  </si>
  <si>
    <t>Veikla: Rangos darbų pirkimas</t>
  </si>
  <si>
    <t>04.03.01.01.03</t>
  </si>
  <si>
    <t>Veikla: Techninio projekto espertizės paslaugų pirkimas</t>
  </si>
  <si>
    <t>04.03.01.01.04</t>
  </si>
  <si>
    <t>Veikla: Rangos darbų techninės priežiūros vykdymas</t>
  </si>
  <si>
    <t>04.03.01.02.</t>
  </si>
  <si>
    <t>Priemonė: Gatvių apšvietimas projekto „Šakių miesto susisiekimo infrastruktūros modernizavimas" (TID-511)</t>
  </si>
  <si>
    <t>10,00</t>
  </si>
  <si>
    <t>7,00</t>
  </si>
  <si>
    <t>04.03.01.02.01</t>
  </si>
  <si>
    <t>Veikla: Įsigyti techninių projektų parengimo bei projekto vykdymo priežiūros paslaugas projekte numatytiems apšvietimo įrengimo darbams</t>
  </si>
  <si>
    <t>04.03.01.02.02</t>
  </si>
  <si>
    <t>04.03.01.02.03</t>
  </si>
  <si>
    <t>04.03.01.02.04</t>
  </si>
  <si>
    <t>04.03.02.</t>
  </si>
  <si>
    <t>Uždavinys: Modernizuoti esamus, įrengti naujus pėsčiųjų ir dviračių takus</t>
  </si>
  <si>
    <t>04.03.02.01</t>
  </si>
  <si>
    <t>Priemonė: įgyvendinti projektą ,,Pėsčiųjų ir dviračių takų įrengimas teritorijoje tarp V. Kudirkos ir Kęstučio gatvių Šakiuose” (R-516)</t>
  </si>
  <si>
    <t>Rekonstruotų pėsčiųjų ir dviračių takų ilgis kilometrais</t>
  </si>
  <si>
    <t>km</t>
  </si>
  <si>
    <t>6,90</t>
  </si>
  <si>
    <t>0,69</t>
  </si>
  <si>
    <t>04.03.02.02.01</t>
  </si>
  <si>
    <t>Veikla: Rangos darbų pirkimas ir atlikimas: kietosios dangos  takų įrengimo darbai</t>
  </si>
  <si>
    <t>04.04.</t>
  </si>
  <si>
    <t>Tikslas: Efektyvus melioracijos statinių funkcionavimas</t>
  </si>
  <si>
    <t>Žemės ūkio ir kaimo reikalų skyrius</t>
  </si>
  <si>
    <t>04.04.01.</t>
  </si>
  <si>
    <t>04.04.01.01.</t>
  </si>
  <si>
    <t>Priemonė: įgyvendinti projektą ,,Šakių rajono savivaldybės Būblelių ir Žvirgždaičių kadastro vietovėse esančių melioracijos statinių rekonstravimas“</t>
  </si>
  <si>
    <t>Rekonstruotų hidrotechninių statinių skaičius</t>
  </si>
  <si>
    <t>18,00</t>
  </si>
  <si>
    <t>Rekonstruota: 1 užtvanka, 4 tiltai, 13 pralaidų.</t>
  </si>
  <si>
    <t>Suremontuotų griovių ilgis kilometrais</t>
  </si>
  <si>
    <t>12,04</t>
  </si>
  <si>
    <t>843,00 ha žemės plotas, kuriame pagerintas viešojo naudojimo melioracijos sistemos.</t>
  </si>
  <si>
    <t>Žemės plotas, kuriame pagerintos viešojo naudojimo melioracijos sistemos</t>
  </si>
  <si>
    <t>ha</t>
  </si>
  <si>
    <t>843,00</t>
  </si>
  <si>
    <t>04.04.01.01.01</t>
  </si>
  <si>
    <t>Veikla: Rekonstruoti melioracijois griovius ir juose esančius hidrotechninius statinius.</t>
  </si>
  <si>
    <t>04.04.01.01.02</t>
  </si>
  <si>
    <t>Veikla: Atlikti Būblelių tvenkinio vandens numetėjo rekonstrukciją</t>
  </si>
  <si>
    <t>04.04.01.02.</t>
  </si>
  <si>
    <t>Priemonė: ES solidarumo fondo lėšos pažeistai melioracijos infrastruktūrai atkurti ir prevencinėms priemonėms taikyti</t>
  </si>
  <si>
    <t>Rekontruotas sausinamas plotas hektarais</t>
  </si>
  <si>
    <t>35,36</t>
  </si>
  <si>
    <t>Rekonstruota drenažo linijų  ilgis - 4,363 km. Projektas įvykdytas per 2019 m.</t>
  </si>
  <si>
    <t>11,54</t>
  </si>
  <si>
    <t>11,55</t>
  </si>
  <si>
    <t>570,65 ha žemės plotas, kuriame pagerintos viešojo naudojimo melioracijos sistemos.</t>
  </si>
  <si>
    <t>04.04.01.02.01</t>
  </si>
  <si>
    <t>Veikla: Suremontuoti melioracijos griovius ir juose esančius hidrotechninius statinius</t>
  </si>
  <si>
    <t>04.04.01.02.02</t>
  </si>
  <si>
    <t>Veikla: Rekonstruoti melioracijos sausinimo sistemas Sudargo ir Panovių kadastro vietovėse</t>
  </si>
  <si>
    <t>04.04.01.03.</t>
  </si>
  <si>
    <t>Priemonė: įgyvendinti projektą "Šakių rajono savivaldybės Giedručių, Šakių, Girėnų ir Lukšių kadastro vietovėse esančių melioracijos statinių remontas ir rekonstrukcija"</t>
  </si>
  <si>
    <t>12,34</t>
  </si>
  <si>
    <t>12,31</t>
  </si>
  <si>
    <t>Atlikti griovių priežiūros darbai (šienavimas).</t>
  </si>
  <si>
    <t>04.04.01.03.01</t>
  </si>
  <si>
    <t>Veikla: Rekonstruoti melioracijos griovius ir juose esančius hidrotechninius statinius</t>
  </si>
  <si>
    <t>04.04.01.04.</t>
  </si>
  <si>
    <t>Priemonė: įgyvendinti projektą ,,Šakių rajono savivaldybės Baltrušių, Barzdų, Patašinės ir Paluobių kadastro vietovėse esančių melioracijos statinių remontas ir rekonstrukcija“</t>
  </si>
  <si>
    <t>16,80</t>
  </si>
  <si>
    <t>04.04.01.04.01.</t>
  </si>
  <si>
    <t>04.04.01.05.</t>
  </si>
  <si>
    <t>Priemonė: įgyvendinti projektą ,,Šakių rajono savivaldybės Briedžių, Liepalotų ir Lukšių kadastro vietovėse esančių melioracijos statinių rekonstravimas“</t>
  </si>
  <si>
    <t>Irena  Žemaitienė, Rimantas Valiukas</t>
  </si>
  <si>
    <t>Parengtų projekto paraiškų skaičius</t>
  </si>
  <si>
    <t>04.04.01.05.01</t>
  </si>
  <si>
    <t>Veikla: Projekto paraiškos pirkimas/parengimas</t>
  </si>
  <si>
    <t>Rimantas  Vaičiūnas</t>
  </si>
  <si>
    <t>04.04.01.06</t>
  </si>
  <si>
    <t>Priemonė: įgyvendinti projektą ,,Šakių rajono savivaldybės Kidulių ir Voverių kadastro vietovėse esančių melioracijos statinių rekonstravimas“</t>
  </si>
  <si>
    <t>04.04.01.06.01</t>
  </si>
  <si>
    <t>04.05.</t>
  </si>
  <si>
    <t>Tikslas: Kompleksinis miestelių ir kaimų bendruomeninės ir viešosios infrastruktūros atnaujinimas.</t>
  </si>
  <si>
    <t>04.05.01.</t>
  </si>
  <si>
    <t>Uždavinys:  Atnaujinti gyvenviečių, turinčių nuo 1000 iki 6000 gyventojų viešąją infrastruktūrą</t>
  </si>
  <si>
    <t>04.05.01.01</t>
  </si>
  <si>
    <t>Priemonė: įgyvendinti projektą "Kudirkos Naumiesčio gyvenamosios vietovės atnaujinimas" (R-908)</t>
  </si>
  <si>
    <t>Rasa Liubamirskaitė</t>
  </si>
  <si>
    <t>Vykdomų rangos darbų skaičius</t>
  </si>
  <si>
    <t>Įvykdytos dvi rangos darbų sutartys. Projektas pratęstas iki 2020 08 31.</t>
  </si>
  <si>
    <t>04.05.01.01.01</t>
  </si>
  <si>
    <t>Veikla: Rangos darbų pirkimas ir atlikimas: pėsčiųjų takų ir apšvietimo įrengimo darbai, sporto ir laisvalaikio erdvės įrengimo darbai, viešojo tualeto statybos bei verslo patalpų remontas ir pritaikymas bendruomenės poreikiams.</t>
  </si>
  <si>
    <t>04.05.01.02.</t>
  </si>
  <si>
    <t>Priemonė: Įgyvendinti projektą ,,Lukšių gyvenamosios vietovės atnaujinimas" (R-908)</t>
  </si>
  <si>
    <t>Vykdomų rangos darbų sutarčių skaičius</t>
  </si>
  <si>
    <t>Rodiklio vykdymas perkeltas į 2020 metus, kadangi užtruko statybos leidimo gavimas ir rangos darbų pirkimo dokumentų išankstinis  vertinimas Agentūroje.</t>
  </si>
  <si>
    <t>04.05.01.02.01</t>
  </si>
  <si>
    <t>Veikla: Techninio projekto "Lukšių miestelio viešųjų erdvių A. Tatarės g. atnaujinimo ir A Tatarės g. 39 kultūros namų pastato dalies konversijos" pirkimas ir parengimas</t>
  </si>
  <si>
    <t>04.05.01.02.02</t>
  </si>
  <si>
    <t>Veikla: Rangos darbų pirkimas ir vykdymas</t>
  </si>
  <si>
    <t>04.05.01.03.</t>
  </si>
  <si>
    <t xml:space="preserve">Priemonė: įgyvendinti projektą "Gelgaudiškio gyvenamosios vietovės atnaujinimas" (R-908)    </t>
  </si>
  <si>
    <t>Vykdomų rangos sutarčių skaičius</t>
  </si>
  <si>
    <t>Vykdomi rangos darbai Gelgaudiškio aikštėje.</t>
  </si>
  <si>
    <t>Rodiklio vykdymas perkeltas į 2020 metus, nes užtruko techninio projekto sprendinių derinimai ir pakoregavimai pagal ekspertizės pastabas</t>
  </si>
  <si>
    <t>04.05.01.03.01</t>
  </si>
  <si>
    <t>Veikla: Techninio projekto "Vakarų g. atkarpos pėsčiųjų tako statybos, lauko apšvietimo tinklų statybos bei rekreacinių zonų įrengimo" parengimas</t>
  </si>
  <si>
    <t>04.05.01.03.02</t>
  </si>
  <si>
    <t>04.05.02.</t>
  </si>
  <si>
    <t>Uždavinys:  Atnaujinti gyvenviečių, turinčių iki  1000 gyventojų viešąją infrastruktūrą</t>
  </si>
  <si>
    <t>04.05.02.01.</t>
  </si>
  <si>
    <t>Priemonė: įgyvendinti priemonės "Kaimo atnaujinimas ir plėtra" projektą "Barzdų atnaujinimas ir plėtra"</t>
  </si>
  <si>
    <t>Rekonstruojamų objektų skaičius</t>
  </si>
  <si>
    <t>04.05.02.01.01</t>
  </si>
  <si>
    <t>Veikla: Techninio darbo projekto parengimas</t>
  </si>
  <si>
    <t>04.05.02.01.02</t>
  </si>
  <si>
    <t>Veikla: Rangos darbų įsigijimas Barzdų kultūros namų pastato kapitaliniam remontui atlikti bei greta esančios aikštelės sutvarkymui</t>
  </si>
  <si>
    <t>04.05.02.02.</t>
  </si>
  <si>
    <t>Priemonė: įgyvendinti priemonės "Kaimo atnaujinimas ir plėtra" projektą "Griškabūdžio atnaujinimas ir plėtra"</t>
  </si>
  <si>
    <t>04.05.02.02.01</t>
  </si>
  <si>
    <t>Veikla: Techninio projekto "Griškabūdžio mstl. Alyvų, Ryto, J. Jablonskio gatvių dalių apšvietimo inžinerinių tinklų plėtros, pėsčiųjų takų plėtros,  J. Jablonskio g. esančio parko sutvarkymo bei turgaus aikštės rekonstrukcijos" parengimas</t>
  </si>
  <si>
    <t>04.05.02.02.02</t>
  </si>
  <si>
    <t>Veikla: Rangos darbų vykdymas</t>
  </si>
  <si>
    <t>04.05.02.03.</t>
  </si>
  <si>
    <t>Priemonė: įgyvendinti priemonės "Kaimo atnaujinimas ir plėtra" projektą "Lekėčių atnaujinimas ir plėtra"</t>
  </si>
  <si>
    <t>Nors buvo perkamas vienas techninis projektas, tačiau dėl darbų specifikos buvo paruošti 3 techniniai projektai (turgavietei, žaidimų aikštelei ir šaligatviui).</t>
  </si>
  <si>
    <t>04.05.02.03.01</t>
  </si>
  <si>
    <t>Veikla: Techninio projekto "Lekėčių mstl. Kauno gatvės dalies pėsčiųjų tako, turgaus aikštės bei viešos vaikų ir sporto aikštės įrengimo" parengimas</t>
  </si>
  <si>
    <t>04.05.02.03.02</t>
  </si>
  <si>
    <t>04.05.02.04.</t>
  </si>
  <si>
    <t>Priemonė: įgyvendinti priemonės "Kaimo atnaujinimas ir plėtra" projektą "Kriūkų atnaujinimas ir plėtra"</t>
  </si>
  <si>
    <t>Sviatošino dvaro suremontuotų objektų skaičius</t>
  </si>
  <si>
    <t>Rangos darbai vykdomi iki 2020 m rugsėjo mėn.</t>
  </si>
  <si>
    <t>04.05.02.04.01</t>
  </si>
  <si>
    <t>04.05.02.04.02</t>
  </si>
  <si>
    <t>Veikla: Rangos darbų įsigijimas Sviatošino dvaro patalpų kapitaliniam remontui.</t>
  </si>
  <si>
    <t>04.05.02.05.</t>
  </si>
  <si>
    <t>Priemonė: įgyvendinti priemonės "Kaimo atnaujinimas ir plėtra" projektą "Plokščių atnaujinimas ir plėtra"</t>
  </si>
  <si>
    <t>Parengtų techninių proejktų skaičius</t>
  </si>
  <si>
    <t>Parengtas techninis projektas.</t>
  </si>
  <si>
    <t>Nupirkti rangos darbai. Juos vykdo UAB "Verslo"</t>
  </si>
  <si>
    <t>04.05.02.05.01</t>
  </si>
  <si>
    <t>04.05.02.05.02</t>
  </si>
  <si>
    <t>Veikla: Rangos darbų įsigijimas laisvalaikio erdvės prie Nemuno upės įrengimui</t>
  </si>
  <si>
    <t>04.05.02.06.</t>
  </si>
  <si>
    <t>Priemonė: įgyvendinti priemonės "Kaimo atnaujinimas ir plėtra" projektą "Sudargo atnaujinimas ir plėtra"</t>
  </si>
  <si>
    <t>Atliktų rangos darbų skaičius</t>
  </si>
  <si>
    <t>Užtruko techninio projekto parengimas dėl viešųjų pirkimo procedūrų, todėl techninio  projekto parengimas nukeltas 2020 m.</t>
  </si>
  <si>
    <t>04.05.02.06.01</t>
  </si>
  <si>
    <t>04.05.02.06.02</t>
  </si>
  <si>
    <t>Veikla: Rangos darbų įsigijimas nenaudojamų patalpų kapitaliniam remontui ir pritaikymui bendruomenės reikmėms.</t>
  </si>
  <si>
    <t>04.05.02.07.</t>
  </si>
  <si>
    <t>Priemonė: įgyvendinti priemonės "Kaimo atnaujinimas ir plėtra" projektą "Slavikų atnaujinimas ir plėtra"</t>
  </si>
  <si>
    <t>Projekto atsisakyta tarybos 2019 m. birželio 21 d. sprendimu  Nr. T-227 „Dėl Šakių rajono savivaldybės tarybos 2016 m. rugsėjo 23 d. sprendimo Nr. T-298 „Dėl pritarimo projektui „Slavikų kaimo atnaujinimas ir plėtra“ pripažinimo netekusiu galios"</t>
  </si>
  <si>
    <t>04.05.02.07.01</t>
  </si>
  <si>
    <t>04.05.02.07.02</t>
  </si>
  <si>
    <t>Veikla: Rangos darbų įsigijimas kultūros namų pastate esančių patalpų kapitaliniam remontui atlikti, bėgimo tako esančio prie Slavikų mokyklos sutvarkymui ir lauko treniruoklių pastatymui.</t>
  </si>
  <si>
    <t>04.05.02.08.</t>
  </si>
  <si>
    <t>Priemonė: įgyvendinti priemonės "Kaimo atnaujinimas ir plėtra" projektą "Žvirgždaičių atnaujinimas ir plėtra"</t>
  </si>
  <si>
    <t>04.05.02.08.01</t>
  </si>
  <si>
    <t>Veikla: Techninio projekto "Šakių r. sav., Žvirgždaičių mstl., Taikos, Draugystės ir Ąžuolų gatvių apšvietimo tinklų sistemų bei žaidimų ir sporto aikštelės įrengimas" parengimas</t>
  </si>
  <si>
    <t>04.05.02.08.02</t>
  </si>
  <si>
    <t>04.08.</t>
  </si>
  <si>
    <t>Tikslas: Švietimo kokybės gerinimas.</t>
  </si>
  <si>
    <t>04.08.01.</t>
  </si>
  <si>
    <t>Uždavinys: Kompleksiškai modernizuoti, renovuoti švietimo įstaigų mokymo (si) ir ugdymo (si) aplinką ir materialinę bazę</t>
  </si>
  <si>
    <t>04.08.01.01.</t>
  </si>
  <si>
    <t>Priemonė: Įgyvendinti projektą „Šakių rajono savivaldybės mokyklų tinklo efektyvumo didinimas“  (R-724)</t>
  </si>
  <si>
    <t>Aurimas Staugaitis</t>
  </si>
  <si>
    <t>Įsigytos įrangos ir įrenginių komplektų skaičius</t>
  </si>
  <si>
    <t>kompl.</t>
  </si>
  <si>
    <t>Dalis įrangos perkelta įsigyti į 2020 metus</t>
  </si>
  <si>
    <t>Suremontuotų objektų (Kriūkų mokykla - daugiafunkcis centras, Lekėčių mokykla - daugiafunkcis centras) skaičius</t>
  </si>
  <si>
    <t>04.08.01.01.01</t>
  </si>
  <si>
    <t>Veikla: Įsigyti lauko žaidimų aikštelių inventorių, salės baldus, garso aparatūrą.</t>
  </si>
  <si>
    <t>04.08.01.01.02</t>
  </si>
  <si>
    <t>Veikla: Atlikti tęstinius rangos darbus: Šakių rajono Lekėčių mokyklos – daugiafunkcio centro salės ir koridoriaus patalpų įrengimo darbai.</t>
  </si>
  <si>
    <t>04.09.</t>
  </si>
  <si>
    <t>Tikslas: Sporto ir aktyvaus laisvalaikio infrastruktūros plėtojimas.</t>
  </si>
  <si>
    <t>04.09.01.</t>
  </si>
  <si>
    <t>Uždavinys: Atnaujinti esamas ir kurti naujas sporto ir aktyvaus laisvalaikio zonas bei viešąsias erdves</t>
  </si>
  <si>
    <t>04.09.01.01.</t>
  </si>
  <si>
    <t xml:space="preserve">Priemonė: įgyvendinti projektą „Neformaliojo švietimo infrastruktūros tobulinimas Šakių mieste"  (R-725)      </t>
  </si>
  <si>
    <t>Suremontuotų objektų (Šakių rajono savivaldybės jaunimo kūrybos ir sporto centras, Šakių rajono meno mokykla) skaičius</t>
  </si>
  <si>
    <t>04.09.01.01.01</t>
  </si>
  <si>
    <t>Veikla:Įrengti sporto, infrastruktūros, laisvalaikio paslaugų infrastruktūros objektai (Šakių meno mokyklos palėpės kapitalinis remontas, Šakių meno mokyklos rūbinių paprastasis remontas, rajono savivaldybės Jaunimo ir kūrybos centro kontaktinės sporto salės paprastasis remontas, kūno rengybos salės paprastasis remontas, rūbinių kapitalinis remontas).</t>
  </si>
  <si>
    <t>04.09.01.01.02</t>
  </si>
  <si>
    <t>Veikla: Įsigyti sporto centrui reikalingą sporto inventorių, meno mokyklai reikalingą fortepijoną ir akustines užuolaidas.</t>
  </si>
  <si>
    <t>04.09.01.02.</t>
  </si>
  <si>
    <t>Priemonė: "Šakių Žiburio gimnazijos sporto aikštyno atnaujinimas"</t>
  </si>
  <si>
    <t>Sutvarkytų teritorijų skaičius</t>
  </si>
  <si>
    <t>04.09.01.02.01</t>
  </si>
  <si>
    <t>Veikla: Įsigyti rangos darbus Šakių Žiburio gimnazijos sporto aikštyno atnaujinimui</t>
  </si>
  <si>
    <t>04.09.01.05.</t>
  </si>
  <si>
    <t>Priemonė: "Žiburio gimnazijos modernizavimas"</t>
  </si>
  <si>
    <t>Gintaras  Demenius, Vytautas Mauza</t>
  </si>
  <si>
    <t>Renovuotų objektų skaičius</t>
  </si>
  <si>
    <t>04.09.01.05.01</t>
  </si>
  <si>
    <t>04.10.</t>
  </si>
  <si>
    <t>Tikslas: Sveiko gyvenimo  būdo ir sporto propagavimas, ligų prevencija, profilaktika.</t>
  </si>
  <si>
    <t>04.10.01.</t>
  </si>
  <si>
    <t>Uždavinys: Skatinti sveiką gyvenseną ir vykdyti ligų prevenciją</t>
  </si>
  <si>
    <t>04.10.01.01.</t>
  </si>
  <si>
    <t>Priemonė: įgyvendinti projektą „Šakių rajono  pirminės asmens  sveikatos priežiūros  veiklos efektyvumo didinimas“ (R-609)</t>
  </si>
  <si>
    <t>Atnaujintų patalpų, pirminės asmens sveikatos priežiūros įstaigose, skaičius</t>
  </si>
  <si>
    <t>Įrengtų DOTS kabinetų skaičius</t>
  </si>
  <si>
    <t>Įsigytų tikslinės transporto priemonių skaičius</t>
  </si>
  <si>
    <t>Įsigytų medicininės, kompiuterinės įrangų bei baldų komplektų skaičius</t>
  </si>
  <si>
    <t>04.10.01.01.01</t>
  </si>
  <si>
    <t>Veikla: Atnaujinti patalpas 3-jose pirminės asmens sveikatos priežiūros įstaigose (Šakių PASPC, Griškabūdžio ambulatorija ir Kudirkos Naumiesčio PSPC)</t>
  </si>
  <si>
    <t>04.10.01.01.02</t>
  </si>
  <si>
    <t>Veikla: Įrengti DOTS kabinetą Šakių PASPC</t>
  </si>
  <si>
    <t>04.10.01.01.03</t>
  </si>
  <si>
    <t>Veikla: Įvykdyti transporto priemonių pirkimus</t>
  </si>
  <si>
    <t>04.10.01.01.04</t>
  </si>
  <si>
    <t>Veikla: Įvykdyti medicininės, kompiuterinės įrangų bei baldų pirkimus</t>
  </si>
  <si>
    <t>04.10.01.02.</t>
  </si>
  <si>
    <t>Priemonė: įgyvendinti projektą ,,Sveikos gyvensenos skatinimas Šakių rajone“ (R-630)</t>
  </si>
  <si>
    <t>Dalyvavusių informavimo, švietimo ir mokymo renginiuose bei sveikatos raštingumą didinančiose veiklose dalyvių skaičius</t>
  </si>
  <si>
    <t>300,00</t>
  </si>
  <si>
    <t>04.10.01.02.01</t>
  </si>
  <si>
    <t>Veikla: Suorganizuoti visuomenės informavimo, švietimo ir mokymo renginių  bei sveikatos raštingumą didinančias veiklas</t>
  </si>
  <si>
    <t>04.10.01.03.</t>
  </si>
  <si>
    <t>Priemonė: įgyvendinti projektą „Priemonių, gerinančių ambulatorinių sveikatos priežiūros paslaugų prieinamumą tuberkulioze sergantiems pacientams įgyvendinimas Šakių rajone“ (R-615)</t>
  </si>
  <si>
    <t>Asmenų, gavusių maisto talonus, skaičius</t>
  </si>
  <si>
    <t>Nors DOTS kabinetui baldai ir med. įranga buvo supirkti, tačiau tik 2019-12-31 DOTS savo veiklos dar nevykdė.</t>
  </si>
  <si>
    <t>04.10.01.03.01</t>
  </si>
  <si>
    <t>Veikla: Maisto talonų dalinimas tuberkulioze sergantiems pacientams, kurie vartoja vaistus ambulatorinio gydymo metu</t>
  </si>
  <si>
    <t>04.12.</t>
  </si>
  <si>
    <t>Tikslas: Regioninio ir tarptautinio bendradarbiavimo plėtojimas.</t>
  </si>
  <si>
    <t>04.12.01.</t>
  </si>
  <si>
    <t>Uždavinys: ES lėšomis finansuojamų bendradarbiavimo projektų įgyvendinimas</t>
  </si>
  <si>
    <t>04.12.01.01.</t>
  </si>
  <si>
    <t>Priemonė: finansuoti apyvartines Regioninės plėtros programos išlaidas</t>
  </si>
  <si>
    <t>Vykdomų priemonių, projektų įgyvendinimui būtinų išlaidų finansavimui, skaičius</t>
  </si>
  <si>
    <t>04.12.01.01.01</t>
  </si>
  <si>
    <t>Veikla: Netinkamų, bet projektų įgyvendinimui būtinų išlaidų finasavimas</t>
  </si>
  <si>
    <t>04.12.02.</t>
  </si>
  <si>
    <t>Uždavinys. Išnaudoti regioninio ir  tarptautinio bendradarbiavimo galimybes socialinės infrastruktūros plėtrai</t>
  </si>
  <si>
    <t>04.12.02.01.</t>
  </si>
  <si>
    <t>Priemonė: įgyvendinti projektą  “Draugystės parkai - 2“</t>
  </si>
  <si>
    <t>04.12.02.01.01</t>
  </si>
  <si>
    <t>Veikla: Rekonstrukcijos darbų vykdymas Šakių miesto skvere</t>
  </si>
  <si>
    <t>04.12.02.02.</t>
  </si>
  <si>
    <t>Priemonė: "Įgyvendinti projektą „WiFi4EU Šakių rajono savivaldybėje“</t>
  </si>
  <si>
    <t>Įrengtų bevielio interneto ryšio prieigos taškų skaičius</t>
  </si>
  <si>
    <t>Įrengimas nusikėlė  į 2020 metus. 2019 metais buvo rengiami pirkimo dokumentai, konsultuojamasi su diegimo bendrovėmis.</t>
  </si>
  <si>
    <t>04.12.02.02.01.</t>
  </si>
  <si>
    <t>Veikla: Bevielio interneto prieigos taškų įrengimo pirkimas</t>
  </si>
  <si>
    <t>04.12.02.03.</t>
  </si>
  <si>
    <t>Priemonė: Įgyvendinti projektą „Zanavykų ir Goldap „Mazurski zdrój“ regionai – neatrastos turizmo galimybės“</t>
  </si>
  <si>
    <t>Buvo parengta projektinė paraiška konkursui.</t>
  </si>
  <si>
    <t>04.12.02.03.01.</t>
  </si>
  <si>
    <t>04.14.</t>
  </si>
  <si>
    <t>Tikslas: Socialinių paslaugų prieinamumo  ir pasirinkimo užtikrinimas.</t>
  </si>
  <si>
    <t>04.14.01.</t>
  </si>
  <si>
    <t>Uždavinys:Teikti socialinės globos paslaugas</t>
  </si>
  <si>
    <t>04.14.01.01.</t>
  </si>
  <si>
    <t>Priemonė: įgyvendinti projektą „Kompleksinių paslaugų šeimai plėtra Šakių savivaldybėje“ (V-416)</t>
  </si>
  <si>
    <t>Socialinių paslaugų suteikimo skaičius</t>
  </si>
  <si>
    <t>Teikiama 18 socialinių paslaugų. Visos paslaugos labai paklausios.</t>
  </si>
  <si>
    <t>04.14.01.01.01</t>
  </si>
  <si>
    <t>Veikla: Teikti projekto veiklose numatytas paslaugas. Organizuojamos grupinės ir individualios konsultacijos (mediacijos paslaugų, emocinio intelekto, įvairių terapijų, psichologo paslaugos ir kt. ).</t>
  </si>
  <si>
    <t>04.15.</t>
  </si>
  <si>
    <t xml:space="preserve">Tikslas: Socialinių paslaugų aprėpties didinimas.       </t>
  </si>
  <si>
    <t>04.15.01.</t>
  </si>
  <si>
    <t>Uždavinys: Socialinių paslaugų rizikos asmenims plėtra</t>
  </si>
  <si>
    <t>04.15.01.01.</t>
  </si>
  <si>
    <t>Priemonė: įgyvendinti projektą „Socialinių paslaugų infrastruktūros plėtra Šakių rajone“ (R-407)</t>
  </si>
  <si>
    <t>Atliktų rangos darbų infrastruktūrai pagerinti skaičius</t>
  </si>
  <si>
    <t>2019 m. parengtas techninis projektas. rangos darbai prasidės 2020 m.</t>
  </si>
  <si>
    <t>04.15.01.01.01</t>
  </si>
  <si>
    <t>Veikla: Sutvarkyti infrastruktūrą pritaikant patalpas neįgaliųjų asmenų dienos centrui</t>
  </si>
  <si>
    <t>04.15.02.</t>
  </si>
  <si>
    <t>Uždavinys: Šakių rajono socialinio būsto fondo plėtra</t>
  </si>
  <si>
    <t>04.15.02.01.</t>
  </si>
  <si>
    <t>Priemonė: įgyvendinti projektą „Šakių rajono savivaldybės socialinio būsto plėtra“ (R-408)</t>
  </si>
  <si>
    <t>Įsigytų būstų skaičius</t>
  </si>
  <si>
    <t>Įsigytas vienas būstas.</t>
  </si>
  <si>
    <t>04.15.02.01.01</t>
  </si>
  <si>
    <t>Veikla: Įsigyti nekilnojamą turtą skirtą socialinio būsto laukiantiems asmenims (paskelbti skelbiamų derybų pirkimus, apžiūrėti pasiūlytas įsigyti patalpas, užsakyti turto vertinimo paslaugas, tinkamus būstus įsigyti).</t>
  </si>
  <si>
    <t>04.16.</t>
  </si>
  <si>
    <t>Tikslas: Viešosios tvarkos palaikymo sistemų tobulinimas.</t>
  </si>
  <si>
    <t>04.16.01.</t>
  </si>
  <si>
    <t>Uždavinys: Gerinti saugumą viešosiose erdvėse</t>
  </si>
  <si>
    <t>04.16.01.01.</t>
  </si>
  <si>
    <t>Priemonė: "Miesto stebėjimo sistemos įrengimas"</t>
  </si>
  <si>
    <t>Antanas Grigaitis</t>
  </si>
  <si>
    <t>Atnaujintų stebėjimo sistemų įrangos skaičius</t>
  </si>
  <si>
    <t>04.16.01.01.01</t>
  </si>
  <si>
    <t>Veikla: Atnaujinti stebėjimo sistemos įrangą</t>
  </si>
  <si>
    <t>04.17.</t>
  </si>
  <si>
    <t>Tikslas: Kultūros paveldo saugojimas, aktualizavimas ir pritaikymas viešiesiems poreikiams.</t>
  </si>
  <si>
    <t>04.17.01</t>
  </si>
  <si>
    <t>Uždavinys. Restauruoti, pritaikyti viešiesiems poreikiams kultūros paveldo objektus.</t>
  </si>
  <si>
    <t>04.17.01.01.</t>
  </si>
  <si>
    <t>Priemonė: įgyvendinti projektą  „Gelgaudiškio dvaro sodybos restauravimas ir kompleksiškas pritaikymas  turizmo reikmėms“.</t>
  </si>
  <si>
    <t>Saugomų pastatų skaičius</t>
  </si>
  <si>
    <t>Buvo apdraustos projekto „Gelgaudiškio dvaro sodybos restauravimas ir kompleksiškas pritaikymas  turizmo reikmėms“ investicijos bei nupirktos apsaugos paslaugos Gelgaudiškio dvaro sodybos kompleksui. Išnuomojus dvaro sodybą, šios paslaugos buvo nutrauktos ir įsipareigojimus toliau vykdo Nuomininkas.</t>
  </si>
  <si>
    <t>04.17.01.01.01</t>
  </si>
  <si>
    <t>Veikla: Apsaugos paslaugų pirkimas Gelgaudiškio dvaro pagrindiniams rūmams</t>
  </si>
  <si>
    <t>04.17.01.01.02</t>
  </si>
  <si>
    <t>Veikla: Apdrausti projekto  „Gelgaudiškio dvaro sodybos restauravimas ir kompleksiškas pritaikymas  turizmo reikmėms“ investicijas</t>
  </si>
  <si>
    <t>04.17.01.02.</t>
  </si>
  <si>
    <t>Priemonė: įgyvendinti projektą „Mažųjų miestelių turizmo galimybės. Sintautai“.</t>
  </si>
  <si>
    <t>Pasibaigus projekto ataskaitų teikimo laikui nebeliko poreikio apdrausti investicijas</t>
  </si>
  <si>
    <t>04.17.01.02.01</t>
  </si>
  <si>
    <t>Veikla: Apsaugos paslaugų pirkimas  projekto „Mažųjų miestelių turizmo galimybės. Sintautai“ pastatams</t>
  </si>
  <si>
    <t>04.17.01.02.02</t>
  </si>
  <si>
    <t>Veikla:  Apdrausti projekto "Mažųjų miestelių turizmo galimybės. Sintautai" investicijas</t>
  </si>
  <si>
    <t>04.17.01.03.</t>
  </si>
  <si>
    <t>Priemonė: įgyvendinti projektą  „Gelgaudiškio dvaro sodybos restauravimas ir kompleksiškas pritaikymas  turizmo reikmėms“II etapas.</t>
  </si>
  <si>
    <t>04.17.01.03.01</t>
  </si>
  <si>
    <t>Veikla: Apsaugos paslaugų pirkimas Gelgaudiškio dvaro sodybos oranžerijos, kumetyno bei varpinės pastatams</t>
  </si>
  <si>
    <t>04.17.01.03.02</t>
  </si>
  <si>
    <t>04.17.01.04.</t>
  </si>
  <si>
    <t xml:space="preserve">Priemonė: įgyvendinti projektą  "Gelgaudiškio dvaro sodybos rūmų, Parko g. 5, Gelgaudiškis, Šakių r., (unikalus kodas Kultūros vertybių registre 586) 111,118,115 patalpų interjerų tvarkybos (remonto, restauravimo) darbai" (lipdybos darbai).           </t>
  </si>
  <si>
    <t>Restauruotų patalpų skaičius</t>
  </si>
  <si>
    <t>04.17.01.04.01</t>
  </si>
  <si>
    <t>Veikla: Vykdyti tvarkybos darbus Gelgaudiškio dvaro rūmų 115 patalpoje</t>
  </si>
  <si>
    <t>Kristina Juodviršienė</t>
  </si>
  <si>
    <t>04.17.01.05.</t>
  </si>
  <si>
    <t>Priemonė: „Elektros energijos tiekimas Gelgaudiškio dvaro sodyboje“</t>
  </si>
  <si>
    <t>Sudarytų elektros paslaugų pirkimų skaičius</t>
  </si>
  <si>
    <t>04.17.01.05.01</t>
  </si>
  <si>
    <t>Veikla: Elektros paslaugų pirkimas</t>
  </si>
  <si>
    <t>04.17.01.07</t>
  </si>
  <si>
    <t>Priemonė: įgyvendinti projektą "Kultūros paveldas abipus sienos - turizmui ir bendradarbiavimui".</t>
  </si>
  <si>
    <t>Aurelija  Papievienė</t>
  </si>
  <si>
    <t>Rekonstruotų ir pritaikytų pastatų skaičius</t>
  </si>
  <si>
    <t>Projektas tęsiamas 2020 m.</t>
  </si>
  <si>
    <t>04.17.01.07.01</t>
  </si>
  <si>
    <t>Veikla: Dalinai rekonstruoti Kidulių dvaro svirno pastatą</t>
  </si>
  <si>
    <t>04.18.</t>
  </si>
  <si>
    <t>Tikslas: Palankių sąlygų sudarymas kultūros ir turizmo paslaugų plėtrai ir paslaugų kokybės gerinimui.</t>
  </si>
  <si>
    <t>04.18.01</t>
  </si>
  <si>
    <t>Uždavinys. Skatinti ir didinti turizmo produktų įvairovę ir pasiūlą</t>
  </si>
  <si>
    <t>04.18.01.01.</t>
  </si>
  <si>
    <t xml:space="preserve">Priemonė: įgyvendinti projektą „Prioritetinių turizmo plėtros regionų e-rinkodara. Nemuno kelias" </t>
  </si>
  <si>
    <t>Ieva Bernotaitė</t>
  </si>
  <si>
    <t>Įgyvendinamų e-rinkodaros projektų skaičius</t>
  </si>
  <si>
    <t>04.18.01.01.01</t>
  </si>
  <si>
    <t>Veikla: Vykdyti rinkodaros projektą</t>
  </si>
  <si>
    <t>06.</t>
  </si>
  <si>
    <t>Kultūros ir turizmo plėtros programa</t>
  </si>
  <si>
    <t>Asta  Kėvelaitytė, Aurelija  Papievienė</t>
  </si>
  <si>
    <t>06.01.</t>
  </si>
  <si>
    <t>Tikslas: Sąlygų sudarymas visiems gyventojams dalyvauti etninės kultūros sklaidos procese</t>
  </si>
  <si>
    <t>06.01.01.</t>
  </si>
  <si>
    <t>Uždavinys: Skleisti zanavykų krašto kultūrą, bendradarbiauti su kitų regionų ir šalių institucijomis</t>
  </si>
  <si>
    <t>06.01.01.01.</t>
  </si>
  <si>
    <t>Priemonė: Organizuoti ir dalyvauti tarptautiniuose, respublikiniuose, regionų seminaruose, festivaliuose, konkursuose, šventėse (šokių, armonikierių, kapelų, vaikų ir moksleivių – liaudies kūrybos atlikėjų, tautodailininkų; reginiai Lenkijoje, Kaliningrado sr. ir kt. šalyse)</t>
  </si>
  <si>
    <t>Organizuotų ir sudalyvautų renginių skaičius</t>
  </si>
  <si>
    <t>06.01.01.01.01.</t>
  </si>
  <si>
    <t>Veikla: Organizuoti ir dalyvauti renginiuose</t>
  </si>
  <si>
    <t>06.01.02.</t>
  </si>
  <si>
    <t>Uždavinys: Įgyvendinti tautinio kostiumo ir liaudies instrumentų atnaujinimo programą</t>
  </si>
  <si>
    <t>06.01.02.01.</t>
  </si>
  <si>
    <t>Priemonė: Įsigyti tautinių kostiumų ir liaudies instrumentų</t>
  </si>
  <si>
    <t>Įsigytų tautinių kostiumų skaičius</t>
  </si>
  <si>
    <t>8,00</t>
  </si>
  <si>
    <t>Lėšos perduotos Sintautų KC, įsigyta 6 tautiniai kostiumai šokių kolektyvui „Sintuola“ ir 2 tautiniai kostiumai folkloro kolektyvui „Sintuola“</t>
  </si>
  <si>
    <t>Įsigytų liaudies instrumentų skaičius</t>
  </si>
  <si>
    <t>Priemonė  nebuvo planuota 2019 m.</t>
  </si>
  <si>
    <t>06.01.02.01.01</t>
  </si>
  <si>
    <t>Veikla: Įsigyti tautinių kostiumų</t>
  </si>
  <si>
    <t>06.02.</t>
  </si>
  <si>
    <t>Tikslas:  Kultūros paveldo saugojimas, aktualizavimas ir pritaikymas viešiesiems poreikiams</t>
  </si>
  <si>
    <t>06.02.01.</t>
  </si>
  <si>
    <t>Uždavinys: Restauruoti, pritaikyti viešiesiems poreikiams kultūros paveldo objektus</t>
  </si>
  <si>
    <t>06.02.01.01.</t>
  </si>
  <si>
    <t xml:space="preserve">Priemonė: Atlikti tęstinius Zyplių dvaro sodybos amatininkų namo ( (u.k 24745)  avarinės būklės likvidavimo darbus
</t>
  </si>
  <si>
    <t>Inga Navlickienė</t>
  </si>
  <si>
    <t>Restauruotų pastatų skaičius</t>
  </si>
  <si>
    <t>Pritaikytų pastatų skaičius</t>
  </si>
  <si>
    <t>Techninį projekto parengimas perkeltas į 2020 m.</t>
  </si>
  <si>
    <t>06.02.01.01.01</t>
  </si>
  <si>
    <t>Veikla: Atlikti avarinės būklės likvidavimo darbus</t>
  </si>
  <si>
    <t>06.02.01.01.02</t>
  </si>
  <si>
    <t>Veikla: Parengti projekto užbaigimui reikalingus dokumentus</t>
  </si>
  <si>
    <t>06.02.01.02.</t>
  </si>
  <si>
    <t>Priemonė: Vinco Kudirkos paminklo restauravimas (u.k. 10045)</t>
  </si>
  <si>
    <t>Restauruotų paminklų skaičius</t>
  </si>
  <si>
    <t>06.02.01.02.01</t>
  </si>
  <si>
    <t>Veikla: Parengti trišalę sutartį pasirašymui</t>
  </si>
  <si>
    <t>06.02.01.02.02.</t>
  </si>
  <si>
    <t>Veikla: Parengti reikalingą dokumentaciją</t>
  </si>
  <si>
    <t>06.02.01.03.</t>
  </si>
  <si>
    <t>Priemonė: Batiškių (Šakių sen.) žydų genocido aukų paminklo restauravimas</t>
  </si>
  <si>
    <t>06.02.01.03.01</t>
  </si>
  <si>
    <t>Veikla: Pagrindinio paminklo priežiūros darbai</t>
  </si>
  <si>
    <t>06.02.01.03.02</t>
  </si>
  <si>
    <t>Veikla: Užrašų ant pagrindinio paminklo ir prie įėjimo į kapus keitimas</t>
  </si>
  <si>
    <t>06.02.02.</t>
  </si>
  <si>
    <t>Uždavinys: Rūpintis krašto įžymių žmonių atminimo, įvykių, vietų išsaugojimu</t>
  </si>
  <si>
    <t>06.02.02.01.</t>
  </si>
  <si>
    <t>Priemonė: Krašto įžymių žmonių atminimo, įvykių, vietų išsaugojimas ir įamžinimas</t>
  </si>
  <si>
    <t>Išsaugotų įžymių vietų skaičius</t>
  </si>
  <si>
    <t>Suorganizuotų renginių skaičius</t>
  </si>
  <si>
    <t>06.02.02.01.01</t>
  </si>
  <si>
    <t>Veikla: Choreografui V. Lingiui skirtų paminklų atnaujinimas</t>
  </si>
  <si>
    <t>06.02.02.01.02</t>
  </si>
  <si>
    <t>Veikla: Valkų mūšiui atminti renginio koordinavimas</t>
  </si>
  <si>
    <t>06.02.02.01.03</t>
  </si>
  <si>
    <t>Veikla: Kriūkų krašto partizaninio judėjimui skirto renginio koordinavimas</t>
  </si>
  <si>
    <t>06.02.02.01.04</t>
  </si>
  <si>
    <t>Veikla: Statinių naudojimo priežiūros dokumentacijos rengimas</t>
  </si>
  <si>
    <t>06.02.02.01.05</t>
  </si>
  <si>
    <t>Veikla: Barzdų kyžiaus priežiūros darbų koordinavimas</t>
  </si>
  <si>
    <t>06.03.</t>
  </si>
  <si>
    <t>Tikslas: Palankių sąlygų sudarymas kultūros ir turizmo paslaugų plėtrai ir paslaugų kokybės gerinimui</t>
  </si>
  <si>
    <t>06.03.01</t>
  </si>
  <si>
    <t>Uždavinys: Skleisti profesionaliąją kūrybą,  skatinti mėgėjų meno veiklą, dainų švenčių tradiciją</t>
  </si>
  <si>
    <t>06.03.01.01.</t>
  </si>
  <si>
    <t xml:space="preserve"> Priemonė: Organizuoti žanrinius  tradicinius renginius ir šventes </t>
  </si>
  <si>
    <t>Asta  Kėvelaitytė</t>
  </si>
  <si>
    <t>Koncertinių rūbų įsigijimas</t>
  </si>
  <si>
    <t>06.03.01.01.01</t>
  </si>
  <si>
    <t>Veikla: Renginių organizavimas</t>
  </si>
  <si>
    <t>06.03.01.01.02</t>
  </si>
  <si>
    <t>Veikla: Koncertinių rūbų įsigijimas</t>
  </si>
  <si>
    <t>06.03.01.02.</t>
  </si>
  <si>
    <t>Priemonė: Kasmetinė kultūros darbuotojo premija</t>
  </si>
  <si>
    <t>Skirtų kasmetinių kultūros darbuotojų premijų skaičius</t>
  </si>
  <si>
    <t>06.03.01.02.01</t>
  </si>
  <si>
    <t>Veikla: Kasmetinė darbuotojo premija</t>
  </si>
  <si>
    <t>06.03.01.03.</t>
  </si>
  <si>
    <t>Priemonė: Koofinansavimo lėšos kultūros įstaigų projektams</t>
  </si>
  <si>
    <t>Koofinansuotų  projektų skaičius</t>
  </si>
  <si>
    <t>06.03.01.03.01</t>
  </si>
  <si>
    <t>Veikla: Projektų koofinansavimas</t>
  </si>
  <si>
    <t>06.03.01.05. 2019</t>
  </si>
  <si>
    <t>Priemonė: Administracinių patalpų pirkimas kultūros įstaigoms</t>
  </si>
  <si>
    <t>Nupirktų patalpų skaičius</t>
  </si>
  <si>
    <t>06.03.01.05.01</t>
  </si>
  <si>
    <t>Veikla: Patalpų Gelgaudiškio KC išpirkimas</t>
  </si>
  <si>
    <t>06.03.02.</t>
  </si>
  <si>
    <t>Uždavinys: Remti krašto autorių kūrybą ir kraštą reprezentuojančius leidinius</t>
  </si>
  <si>
    <t>06.03.02.01.</t>
  </si>
  <si>
    <t>Priemonė: Dalinai paremti leidiniai</t>
  </si>
  <si>
    <t>Dalinai paremtų leidinių skaičius</t>
  </si>
  <si>
    <t>Leidybos komisijos sprendimu dalinai finansuoti 6 leidiniai, planuota finansuoti 5 leidinius.</t>
  </si>
  <si>
    <t>06.03.02.01.01</t>
  </si>
  <si>
    <t>Veikla: Dalinai finansuoti leidiniai</t>
  </si>
  <si>
    <t>06.04.</t>
  </si>
  <si>
    <t>Tikslas.Turizmo infrastruktūros plėtra.</t>
  </si>
  <si>
    <t>06.04.01.</t>
  </si>
  <si>
    <t>Uždavinys: Vykdyti aktyvią rinkodarą ir komunikaciją.</t>
  </si>
  <si>
    <t>06.04.01.01.</t>
  </si>
  <si>
    <t>Priemonė: Formuoti Šakių rajono turizmo reprezentacinį įvaizdį.</t>
  </si>
  <si>
    <t>Parengtų rinkodaros priemonių skaičius</t>
  </si>
  <si>
    <t>Sukurtos įvairios rinkodaros priemonės: stendai, leidiniai, telemarketingo scenarijai ir kt.</t>
  </si>
  <si>
    <t>Oganizuotų turizmo renginių skaičius</t>
  </si>
  <si>
    <t>Rengti įvairūs turizmo renginiai, seminarai ir pristatymai.</t>
  </si>
  <si>
    <t>Išplatintų informacijos rinkinių skaičius</t>
  </si>
  <si>
    <t>24,00</t>
  </si>
  <si>
    <t>Parengti įvairūs informacijos rinkiniai: pranešimai spaudai, interviu, teikta informacija apie turizmo objektus ir kt.</t>
  </si>
  <si>
    <t>Parengtų strategijos krypčių skaičius</t>
  </si>
  <si>
    <t>06.04.01.01.01</t>
  </si>
  <si>
    <t>Veikla: Parengti rinkodaros priemones</t>
  </si>
  <si>
    <t>06.04.01.01.02</t>
  </si>
  <si>
    <t>Veikla: Išplatinti informacijos rinkinius</t>
  </si>
  <si>
    <t>06.04.01.01.03</t>
  </si>
  <si>
    <t>Veikla: Parengti strategijos kryptis</t>
  </si>
  <si>
    <t>06.05.</t>
  </si>
  <si>
    <t>Šešupės euroregiono turizmo ir informacijos centras</t>
  </si>
  <si>
    <t>06.05.01.</t>
  </si>
  <si>
    <t>Uždavinys: Plėtoti turizmo informacinę sistemą</t>
  </si>
  <si>
    <t>06.05.01.01.</t>
  </si>
  <si>
    <t>Priemonė: Plėtoti Šešupės euroregiono TIC veiklą ir turizmo informacinę sistemą</t>
  </si>
  <si>
    <t>Dalyvautų, organizuotų konferencijų, renginių skaičius</t>
  </si>
  <si>
    <t>Rengti pristatymai ir dalyvauta įvairiuose renginiuose,  konferencijose, seminaruose.</t>
  </si>
  <si>
    <t>Sukurtų produktų skaičius</t>
  </si>
  <si>
    <t>9,00</t>
  </si>
  <si>
    <t>Parengti įvairūs produktai: ženkliukas, pakabukas, atvirlaiškiai, šokoladas, marškinėliai ir kt.</t>
  </si>
  <si>
    <t>Sudarytų ataskaitų skaičius</t>
  </si>
  <si>
    <t>Aptarnautų vartotojų skaičius</t>
  </si>
  <si>
    <t>6 000,00</t>
  </si>
  <si>
    <t>Inicijuotų veiklų skaičius</t>
  </si>
  <si>
    <t>Parengtos projektų paraiškos, inicijuotos nemokamos ekskursijos vaikams, konsultacijos, turizmo objektų ir vietinių gamintojų veiklos skatinimas.</t>
  </si>
  <si>
    <t>06.05.01.01.01</t>
  </si>
  <si>
    <t>Veikla: Dalyvauti, organizuoti konferencijas, mokymus ir renginius, susitikimus su turizmo tiekėjais ir organizatoriais.</t>
  </si>
  <si>
    <t>06.05.01.01.02</t>
  </si>
  <si>
    <t>Veikla: Aptarnauti TIC lankytojus ir interesantus</t>
  </si>
  <si>
    <t>06.05.01.01.03</t>
  </si>
  <si>
    <t>Veikla: Sukurti produktus</t>
  </si>
  <si>
    <t>06.05.01.01.04</t>
  </si>
  <si>
    <t>Veikla: Sudaryti ataskaitas ir pateikti statistikos duomenis</t>
  </si>
  <si>
    <t>06.05.01.01.05</t>
  </si>
  <si>
    <t>Veikla: Inicijuoti turizmą skatinančias veiklas</t>
  </si>
  <si>
    <t>07</t>
  </si>
  <si>
    <t>Valdymo programa</t>
  </si>
  <si>
    <t>Centralizuotos buhalterijos skyrius</t>
  </si>
  <si>
    <t>Vitalija Tumienė</t>
  </si>
  <si>
    <t>07.01.</t>
  </si>
  <si>
    <t>Tikslas: Efektyvaus viešojo valdymo sistemos sukūrimas</t>
  </si>
  <si>
    <t>07.01.01.</t>
  </si>
  <si>
    <t>Uždavinys: užtikrinti efektyvų savivaldybės funkcijų vykdymą</t>
  </si>
  <si>
    <t>07.01.01.01.</t>
  </si>
  <si>
    <t>Priemonė: užtikrinti savivaldybės tarybos darbo funkcionalumą</t>
  </si>
  <si>
    <t>Tarybos narių, kėlusių kvalifikaciją skaičius</t>
  </si>
  <si>
    <t>07.01.01.01.01</t>
  </si>
  <si>
    <t>Veikla: Savivaldybės tarybos narių kokybiško darbo užtikrinimas (Darbo užmokestis, išmokos, kvalifikacijos kėlimas, komandiruotės)</t>
  </si>
  <si>
    <t>Rita Vaičiūnienė, Vitalija Tumienė</t>
  </si>
  <si>
    <t>07.01.01.02.</t>
  </si>
  <si>
    <t>Priemonė: užtikrinti kontrolės ir audito tarnybos darbo funkcionalumą</t>
  </si>
  <si>
    <t>Kontrolės ir audito tarnybos darbuotojų, kėlusių kvalifikaciją skaičius</t>
  </si>
  <si>
    <t>07.01.01.02.01</t>
  </si>
  <si>
    <t>Veikla: Savivaldybės kontrolės ir audito tarnybos darbuotojų kokybiško darbo užtikrinimas (Darbo užmokestis, darbo priemonės, kvalifikacijos kėlimas, komandiruotės)</t>
  </si>
  <si>
    <t>07.01.01.03.</t>
  </si>
  <si>
    <t>Priemonė: užtikrinti savivaldybės administracijos darbo funkcionalumą</t>
  </si>
  <si>
    <t>Administracijos darbuotojų, kėlusių kvalifikaciją skaičius</t>
  </si>
  <si>
    <t>124,00</t>
  </si>
  <si>
    <t>126,00</t>
  </si>
  <si>
    <t>07.01.01.03.01</t>
  </si>
  <si>
    <t>Veikla: Savivaldybės administracijos darbuotojų darbo funkcijų vykdymo užtikrinimas</t>
  </si>
  <si>
    <t>Jūratė Šneideraitienė, Rita Vaičiūnienė, Vitalija Tumienė</t>
  </si>
  <si>
    <t>07.01.01.04.</t>
  </si>
  <si>
    <t>Priemonė: užtikrinti savivaldybės administracijos struktūrinių teritorinių padalinių darbo funkcionalumą</t>
  </si>
  <si>
    <t>Šakių rajono savivaldybės administracijos seniūnijos, Vitalija Tumienė</t>
  </si>
  <si>
    <t>Seniūnijų darbuotojų, kėlusių kvalifikaciją skaičius</t>
  </si>
  <si>
    <t>28,00</t>
  </si>
  <si>
    <t>07.01.01.04.01</t>
  </si>
  <si>
    <t>Veikla: Savivaldybės administracijos padalinių - seniūnijų darbuotojų darbo funkcijų vykdymo užtikrinimas</t>
  </si>
  <si>
    <t>Alanta Giliūtė, Danutė Gudiškienė, Rita Ivanaitytė, Šakių rajono savivaldybės administracijos seniūnijos</t>
  </si>
  <si>
    <t>07.01.01.04.02</t>
  </si>
  <si>
    <t>Veikla: Savivaldybės administracijos padalinių - seniūnijų pajamų uždirbimui vykdomų priemonių užtikrinimas (patalpų nuoma, turto pardavimas ir kt.)</t>
  </si>
  <si>
    <t>07.01.02.</t>
  </si>
  <si>
    <t>Uždavinys: Užtikrinti efektyvų priskirtųjų (ribotai savarankiškų) savivaldybių funkcijų vykdymą)</t>
  </si>
  <si>
    <t>07.01.02.01.</t>
  </si>
  <si>
    <t>Priemonė: Organizuoti keleivių vežimą vietiniais maršrutais</t>
  </si>
  <si>
    <t>Nuostolių dėl keleivių vežimo vietinio (priemiestinio) reguliaraus susisiekimo autobusų maršrutais procentas nuo išlaidų, patirtų vežant keleivius (priemiestinio) reguliaraus susisiekimo autobusais</t>
  </si>
  <si>
    <t>0,79</t>
  </si>
  <si>
    <t>07.01.02.01.01</t>
  </si>
  <si>
    <t>Veikla: Keleivių vežimo vietiniais marštutais organizavimas</t>
  </si>
  <si>
    <t>07.01.03.</t>
  </si>
  <si>
    <t>Uždavinys: Formuoti savivaldybės veiklos įvaizdį</t>
  </si>
  <si>
    <t>07.01.03.01.</t>
  </si>
  <si>
    <t>Priemonė: Organizuoti reprezentacijas ir dalyvauti švenčių ir renginių organizavime</t>
  </si>
  <si>
    <t>Reprezentacinių renginių skaičius</t>
  </si>
  <si>
    <t>148,00</t>
  </si>
  <si>
    <t>150,00</t>
  </si>
  <si>
    <t>07.01.03.01.01</t>
  </si>
  <si>
    <t>Veikla: Reprezentacijų, švenčių ir renginių organizavimo bei atsovavimo užtikrinimas</t>
  </si>
  <si>
    <t>07.01.03.02.</t>
  </si>
  <si>
    <t>Priemonė: Reprezentacinis pavėžėjimas</t>
  </si>
  <si>
    <t>Reprezentacinių pavėžėjimų skaičius</t>
  </si>
  <si>
    <t>07.01.03.02.01</t>
  </si>
  <si>
    <t>Veikla: Organizuoti reprezentacinį pavėžėjimą</t>
  </si>
  <si>
    <t>07.01.04.</t>
  </si>
  <si>
    <t>Uždavinys: Nenumatytų reikmių finansavimas</t>
  </si>
  <si>
    <t>07.01.04.01.</t>
  </si>
  <si>
    <t>Priemonė: Ekstremalių situacijų padarinių likvidavimas</t>
  </si>
  <si>
    <t>Prašymų skaičius</t>
  </si>
  <si>
    <t>07.01.04.01.01</t>
  </si>
  <si>
    <t>Veikla: Likviduoti ekstremalių situacijų padarinius</t>
  </si>
  <si>
    <t>07.01.05.</t>
  </si>
  <si>
    <t>Uždavinys: Dengti su savivaldybės turto disponavimu ir įteisinimu susijusias išlaidas</t>
  </si>
  <si>
    <t>07.01.05.01.</t>
  </si>
  <si>
    <t>Priemonė: Organizuoti savivaldybės nekilnojamojo turto įteisinimą, kadastrinių matavimų ir detaliųjų planų rengimą, nekilnojamojo turto vertinimą, užtikrinti žemėtvarkos projektų rengimo ir įgyvendinimo darbų apmokėjimą</t>
  </si>
  <si>
    <t>Irmunda Čepulionienė, Sonata  Gruzdaitienė</t>
  </si>
  <si>
    <t>Užsakymų skaičius</t>
  </si>
  <si>
    <t>100,00</t>
  </si>
  <si>
    <t>07.01.05.01.01</t>
  </si>
  <si>
    <t>Veikla: Savivaldybės nekilnojamojo turto įteisinimo, kadastrinių matavimų ir detaliųjų planų rengimo, nekilnojamojo turto vertinimo, užtikrinant žemėtvarkos projektų rengimo ir įgyvendinimo darbų apmokėjimo organizavimas</t>
  </si>
  <si>
    <t>07.01.06.</t>
  </si>
  <si>
    <t>Uždavinys: Užtikrinti finansinių įsipareigojimų vykdymą</t>
  </si>
  <si>
    <t>07.01.06.01.</t>
  </si>
  <si>
    <t>Priemonė: Grąžinti paskolas</t>
  </si>
  <si>
    <t>Stasė Savickienė</t>
  </si>
  <si>
    <t>Finansinių įsipareigojimų vykdymas (paskolų grąžinimas pagal grafiką)</t>
  </si>
  <si>
    <t>07.01.06.01.01</t>
  </si>
  <si>
    <t>Veikla: Vykdyti finansinius įsipareigojimus (paskolų grąžinimą pagal grafiką)</t>
  </si>
  <si>
    <t>07.01.06.02.</t>
  </si>
  <si>
    <t>Priemonė: Mokėti palūkanas</t>
  </si>
  <si>
    <t>Finansinių įsipareigojimų vykdymas (palūkanų grąžinimas pagal grafiką)</t>
  </si>
  <si>
    <t>07.01.06.02.01</t>
  </si>
  <si>
    <t>Veikla: Vykdyti finansinius įsipareigojimus (mokėti palūkanas)</t>
  </si>
  <si>
    <t>07.01.07.</t>
  </si>
  <si>
    <t>Uždavinys: Vykdyti administracinės naštos mažinimą</t>
  </si>
  <si>
    <t>Bendrųjų reikalų skyrius</t>
  </si>
  <si>
    <t>Rita Vaičiūnienė</t>
  </si>
  <si>
    <t>07.01.07.01.</t>
  </si>
  <si>
    <t>Priemonė: Mažinant administracinę naštą, atnaujinti administracinių paslaugų aprašymus ir paskelbti interneto svetainėje</t>
  </si>
  <si>
    <t>Atnaujintų administracinių paslaugų ir paskelbtų interneto svetainėje komplektų skaičius</t>
  </si>
  <si>
    <t>07.01.07.01.01</t>
  </si>
  <si>
    <t>Veikla: Atnaujinti ir paskelbti interneto svetainėje administracinių paslaugų aprašymų komplektą</t>
  </si>
  <si>
    <t>07.01.07.02.</t>
  </si>
  <si>
    <t>Priemonė: Mažinant administracinę naštą,  ieškoti galimybių dėl integracijos su įvairiais registrais sudarymo</t>
  </si>
  <si>
    <t>Sudarytų paslaugų teikimo sutarčių, ieškant galimybių dėl integracijos su įvairiais registrais, skaičius</t>
  </si>
  <si>
    <t>Darbinių funkcijų atlikimui (vykdymui) atsirado poreikis sudaryti integracines sąsajas papildomai su 2 (dviem) registrais</t>
  </si>
  <si>
    <t>07.01.07.02.01</t>
  </si>
  <si>
    <t>Veikla: Ieškoti galimybių sudaryti paslaugų teikimo sutartis dėl integracijos su įvairiais registrais</t>
  </si>
  <si>
    <t>07.01.07.03.</t>
  </si>
  <si>
    <t>Priemonė: Mažinant administracinę naštą, skatinti naudojimąsi e-pristatymo paslauga</t>
  </si>
  <si>
    <t>Išsiųstų per e-pristatymą dokumentų skaičius</t>
  </si>
  <si>
    <t>900,00</t>
  </si>
  <si>
    <t>1 044,00</t>
  </si>
  <si>
    <t>Darbuotojai buvo raginami naudotis E-pristatymo sistema, mažinti popierinių dokumentų srautą, todėl išaugo dokumentų siuntimas per šią sistemą.</t>
  </si>
  <si>
    <t>07.01.07.03.01</t>
  </si>
  <si>
    <t>Veikla: Padidinti išsiųstų per e-pristatymą dokumentų skaičių, skatinantt darbuotojus rengti elektroninius siunčiamus dokumentus</t>
  </si>
  <si>
    <t>07.01.07.04.</t>
  </si>
  <si>
    <t>Priemonė: Mažinant administracinę naštą,  tobulinti, supaprastinti procesą, keičiantis informacija tarp struktūrinių, struktūrinių teritorinių padalinių, savivaldybei pavaldžių įstaigų, plėtojant Dokumentų valdymo sistemos su moduliu Raštinės paslaugų įdiegimą</t>
  </si>
  <si>
    <t>Įdiegtų ir išplėtotų Dokumentų valdymo sistemų su Raštinės paslaugų moduliu sistemų skaičius</t>
  </si>
  <si>
    <t>07.01.07.04.01</t>
  </si>
  <si>
    <t>Veikla: Įdiegti ir išplėtoti Dokumentų valdymo sistemą su Raštinės paslaugų moduliu, keičiantis informacija tarp struktūrinių, struktūrinių teritorinių padalinių, savivaldybei pavaldžių įstaigų</t>
  </si>
  <si>
    <t>12</t>
  </si>
  <si>
    <t>Ūkio plėtros programa</t>
  </si>
  <si>
    <t>Arvydas Šlėderis, Asta  Cikanienė</t>
  </si>
  <si>
    <t>12.01</t>
  </si>
  <si>
    <t>Tikslas.  Darnaus išteklių naudojimo skatinimas.</t>
  </si>
  <si>
    <t>12.01.01</t>
  </si>
  <si>
    <t>Uždavinys. Vykdyti visuomenės aplinkosauginį švietimą bei aplinkos stebėseną</t>
  </si>
  <si>
    <t>12.01.01.01</t>
  </si>
  <si>
    <t>Priemonė: įgyvendinti Aplinkos apsaugos rėmimo specialiąją programą</t>
  </si>
  <si>
    <t>Apželdintų teritorijų skaičius</t>
  </si>
  <si>
    <t>Įgyvendintų sveikatos programos projektų skaičius</t>
  </si>
  <si>
    <t>Išvežtų padangų kiekis, tonomis</t>
  </si>
  <si>
    <t>t</t>
  </si>
  <si>
    <t>44,06</t>
  </si>
  <si>
    <t>Surinktų ir išvežtų bešeimininkių atliekų kiekis, tonomis</t>
  </si>
  <si>
    <t>2,86</t>
  </si>
  <si>
    <t>Užprenumeruotų aplinkosauginės spaudos komplektų skaičius</t>
  </si>
  <si>
    <t>16,00</t>
  </si>
  <si>
    <t>Likviduotų avarinių medžių skaičius</t>
  </si>
  <si>
    <t>40,00</t>
  </si>
  <si>
    <t>Kompensuotų gyvūnų daromos žalos prevencinių priemonių skaičius</t>
  </si>
  <si>
    <t>12.01.01.01.01</t>
  </si>
  <si>
    <t>Veikla: Po akcijos Darom išvežti surinktas padangas</t>
  </si>
  <si>
    <t>12.01.01.01.02.</t>
  </si>
  <si>
    <t>Veikla: Po akcijos Darom išvežti surinktas atliekas</t>
  </si>
  <si>
    <t>12.01.01.01.03.</t>
  </si>
  <si>
    <t>Veikla: Užprenumeruoti aplinkosauginę spaudą rajono mokykloms</t>
  </si>
  <si>
    <t>12.01.01.01.04.</t>
  </si>
  <si>
    <t>Veikla: Nupirkti paslaugas ir pašalinti pavojų keliančius, ligotus medžius pagal seniūnų paraiškas</t>
  </si>
  <si>
    <t>12.01.01.01.05.</t>
  </si>
  <si>
    <t>Veikla: Kompensuoti medžiojamų gyvūnų daromos žalos miškui prevencijos priemones</t>
  </si>
  <si>
    <t>12.01.01.01.06.</t>
  </si>
  <si>
    <t>Veikla: Nupirkti ir susodinti rajono  visuomeninėse teritorijose medžių ir krūmų sodinukus</t>
  </si>
  <si>
    <t>12.01.01.01.07.</t>
  </si>
  <si>
    <t>Veikla: Numatyti ir pervesti  lėšas skiriamas  Savivaldybės visuomenės sveikatos rėmimo specialiosios programos priemonių įgyvendinimui</t>
  </si>
  <si>
    <t>12.01.02.</t>
  </si>
  <si>
    <t>Uždavinys. Kompleksiškai plėtoti ir puoselėti  rekreacines teritorijas, želdynus, tvenkinius bei kitas viešąsias erdves, pritaikant jas gyventojų bei verslo poreikiams</t>
  </si>
  <si>
    <t>12.01.02.01.</t>
  </si>
  <si>
    <t>Priemonė: Aplinkotvarkos darbai seniūnijose</t>
  </si>
  <si>
    <t>Seniūnijų, kurioms skiriamos lėšos skaičius</t>
  </si>
  <si>
    <t>12.01.02.01.01</t>
  </si>
  <si>
    <t>Veikla: Pagal nustatytus kriterijus (seniūnijos plotą, gyventojų skaičių) paskirstyti aplinkotvarkos lėšas pagal seniūnijas</t>
  </si>
  <si>
    <t>12.01.02.02.</t>
  </si>
  <si>
    <t>Priemonė: Bešeimininkių gyvūnų gaudymo, karantinavimo, globos ir eutanazijos paslaugos</t>
  </si>
  <si>
    <t>Bešeimininkių šunų ir kačių, kuriais pasirūpinta, skaičius</t>
  </si>
  <si>
    <t>44,00</t>
  </si>
  <si>
    <t>12.01.02.02.01.</t>
  </si>
  <si>
    <t>Veikla: Pagal gyventojų bei pareigūnų pateiktą informaciją iškviesti VšĮ "Mindraja"  bešeiminkių gyvūnų gaudymo, karantinavimo, globos ir eutanazijos paslaugoms atlikti</t>
  </si>
  <si>
    <t>12.01.03.</t>
  </si>
  <si>
    <t>Uždavinys. Plėtoti ir tobulinti komunalinių atliekų surinkimo, tvarkymo ir pirminio rūšiavimo infrastruktūrą</t>
  </si>
  <si>
    <t>12.01.03.01.</t>
  </si>
  <si>
    <t>Priemonė: Įrengti žaliųjų atliekų kompostavimo aikšteles seniūnijose (poveikio aplinkai vertinimas)</t>
  </si>
  <si>
    <t>Numatomų įrengti aikštelių skaičius</t>
  </si>
  <si>
    <t>Priemonės vykdymas nukeltas į 2020 m.</t>
  </si>
  <si>
    <t>12.01.03.01.01</t>
  </si>
  <si>
    <t>Veikla: Suformuoti sklypus, atlikti poveikio aplinkai vertinimo procedūras planuojamoms kompostavimo aikštelėms</t>
  </si>
  <si>
    <t>12.01.03.02.</t>
  </si>
  <si>
    <t>Priemonė:  Biudžetinių įmonių pajamos</t>
  </si>
  <si>
    <t>Seniūnijų, kurios teikia mokamas viešąsias paslaugas skaičius</t>
  </si>
  <si>
    <t>12.01.03.02.01</t>
  </si>
  <si>
    <t>Veikla: Surinkti lėšas už seniūnijų teikiamas paslaugas</t>
  </si>
  <si>
    <t>12.01.03.03.</t>
  </si>
  <si>
    <t>Priemonė:  Įgyvendinti projektą "Asbesto turinčių gaminių surinkimas apvažiavimo būdu, transportavimas, saugus šalinimas"</t>
  </si>
  <si>
    <t>Numatomas sutvarkyti asbesto kiekis, tonomis</t>
  </si>
  <si>
    <t>80,00</t>
  </si>
  <si>
    <t>12.01.03.03.01</t>
  </si>
  <si>
    <t>Veikla: Pagal pateiktą sąrašą surinkti sukauptą asbestą ir jį pristatyti saugiam šalinimui</t>
  </si>
  <si>
    <t>12.01.06.</t>
  </si>
  <si>
    <t>Uždavinys. Modernizuoti ir renovuoti viešuosius pastatus</t>
  </si>
  <si>
    <t>12.01.06.01</t>
  </si>
  <si>
    <t>Priemonė: Švietimo įstaigų modernizavimas: vaikų darželių aptvėtimas 1,5 m tvora,</t>
  </si>
  <si>
    <t>Modernizuotų švietimo įstaigų skaičius</t>
  </si>
  <si>
    <t>Priemonė planuojama vykdyti 2021 m.</t>
  </si>
  <si>
    <t>12.01.06.01.01</t>
  </si>
  <si>
    <t>Veikla: Aptverti vaikų darželį "Berželis"1,5 m tvora</t>
  </si>
  <si>
    <t>12.01.06.02.</t>
  </si>
  <si>
    <t>Priemonė: Rajono savivaldybės administracinio pastato šildymo sistemos remonto darbai</t>
  </si>
  <si>
    <t>Renovuotų visuomeninių pastatų šildymo sistemų skaičius</t>
  </si>
  <si>
    <t>12.01.06.02.01.</t>
  </si>
  <si>
    <t>Veikla: Atlikti rajono savivaldybės administracinio pastato šildymo sistemos remonto darbus</t>
  </si>
  <si>
    <t>12.01.06.03.</t>
  </si>
  <si>
    <t>Priemonė: Nenaudojamų pastatų nugriovimas</t>
  </si>
  <si>
    <t>Nugriautų pastatų skaičius</t>
  </si>
  <si>
    <t>12.01.06.03.01.</t>
  </si>
  <si>
    <t>Veikla: Nugriauti Gelgaudiškio m-los kaminą</t>
  </si>
  <si>
    <t>12.01.07.</t>
  </si>
  <si>
    <t>Uždavinys. Vykdyti daugiabučių gyvenamųjų namų administravimą bei daugiabučių gyvenamųjų namų valdytojų priežiūrą ir kontrolę</t>
  </si>
  <si>
    <t>12.01.07.01</t>
  </si>
  <si>
    <t>Priemonė: Dalyvauti daugiabučių gyvenamųjų namų modernizavimo programoje (investicinių planų bei energinio naudingumo sertifikatų rengimas)</t>
  </si>
  <si>
    <t>Parengtų investicijų planų skaičius</t>
  </si>
  <si>
    <t>12.01.07.01.01</t>
  </si>
  <si>
    <t>Veikla: Pagal gyventojų prašymus parengti daugiabučių namų investicinių planus bei energinio naudingumo sertifikatus</t>
  </si>
  <si>
    <t>12.01.07.02.</t>
  </si>
  <si>
    <t>Priemonė: Renovuotų socialinių būstų paskolos administravimo paslaugai apmokėti</t>
  </si>
  <si>
    <t>Renovuotų socialinių būstų skaičius</t>
  </si>
  <si>
    <t>Priemonės vykdymas atidėtas</t>
  </si>
  <si>
    <t>12.01.07.02.01.</t>
  </si>
  <si>
    <t>Veikla: Apmokėti renovuotų socialinių būstų paskolos administravimo paslaugą</t>
  </si>
  <si>
    <t>12.01.07.03.</t>
  </si>
  <si>
    <t>Priemonė: Daugiabučių gyvenamųjų namų rėmimo fondas</t>
  </si>
  <si>
    <t>Daugiabučių gyvenamųjų namų modernizavimo paslaugos teikimo plėtra, procentais</t>
  </si>
  <si>
    <t>12.01.07.03.01</t>
  </si>
  <si>
    <t>Veikla: Už paslaugas UAB "Šakių komunalinis ūkis"</t>
  </si>
  <si>
    <t>12.01.09</t>
  </si>
  <si>
    <t>Uždavinys. Vykdyti viešųjų kapinių plėtrą, įrengti kolumbariumą</t>
  </si>
  <si>
    <t>12.01.09.01.</t>
  </si>
  <si>
    <t>Priemonė: Šakių miesto naujų civilinių kapinių aprūpinimas geriamuoju vandeniu</t>
  </si>
  <si>
    <t>Naujai aprūpintų vandeniu civilinių kapinių skaičius</t>
  </si>
  <si>
    <t>12.01.09.01.01.</t>
  </si>
  <si>
    <t>Veikla: Įrengti Šakių miesto naujų civilinių kapinių aprūpinimo geriamuoju vandeniu sistemą</t>
  </si>
  <si>
    <t>12.02.</t>
  </si>
  <si>
    <t>Tikslas. Inžinerinės infrastruktūros modernizavimas</t>
  </si>
  <si>
    <t>12.02.01</t>
  </si>
  <si>
    <t xml:space="preserve">Uždavinys. Plėtoti ir renovuoti  viešąsias geriamojo vandens tiekimo ir nuotekų šalinimo sistemas </t>
  </si>
  <si>
    <t>12.02.01.01</t>
  </si>
  <si>
    <t>Priemonė: Įrengti naujus artezinius gręžinius su vandens gerinimo įranga</t>
  </si>
  <si>
    <t>Naujai įrengtų artezinių gręžinių (Bliuviškių k.) skaičius</t>
  </si>
  <si>
    <t>12.02.01.01.01</t>
  </si>
  <si>
    <t>Veikla: Įrengtas naujas gręžinys su vandens gerinimo įranga</t>
  </si>
  <si>
    <t>12.02.01.03. / 2019 /</t>
  </si>
  <si>
    <t>Priemonė: Medžiotojų g. Lekėčių sen. vandentiekio ir nuotekų tinklų plėtra</t>
  </si>
  <si>
    <t>Gatvių, kuriose naujai nutiesti vandentierkio ir nuotekų tinklai skaičius</t>
  </si>
  <si>
    <t>12.02.01.03.01.</t>
  </si>
  <si>
    <t>Veikla: Atlikti Medžiotojų g. Lekėčių sen. vandentiekio ir nuotekų tinklų plėtą</t>
  </si>
  <si>
    <t>12.02.02.</t>
  </si>
  <si>
    <t>Uždavinys. Modernizuoti ir plėtoti paviršinių nuotekų sistemas</t>
  </si>
  <si>
    <t>12.02.02.01.</t>
  </si>
  <si>
    <t>Priemonė: Paviršinių nuotekų tvarkymo  paslauga (biudžetinės įstaigos, bendro naudojimo teritorijos)</t>
  </si>
  <si>
    <t>Juridinių asmenų, kuriems teikiama paslauga skaičius</t>
  </si>
  <si>
    <t>12.02.02.01.01</t>
  </si>
  <si>
    <t>Veikla: Teikti paviršinių nuotekų surinkimo ir tvarkymo paslaugą</t>
  </si>
  <si>
    <t>12.02.02.02.</t>
  </si>
  <si>
    <t>Priemonė: Vandentvarkos objektų remonto ir statybos darbai</t>
  </si>
  <si>
    <t>Nutiestų vandentiekio ir nuotekų tinklų (Lenbūdžių g., Gipsinių g.) ilgis, kilometrais</t>
  </si>
  <si>
    <t>0,20</t>
  </si>
  <si>
    <t>12.02.02.02.01</t>
  </si>
  <si>
    <t>Veikla: Nutiesti vandentiekio ir nuotekų tinklus Lenbūdžių g., Gipsinių g.</t>
  </si>
  <si>
    <t>12.03.</t>
  </si>
  <si>
    <t>Tikslas. Šiuolaikiškos susisiekimo sistemos plėtra</t>
  </si>
  <si>
    <t>12.03.01</t>
  </si>
  <si>
    <t>Uždavinys. Modernizuoti ir plėtoti savivaldybės vietinės reikšmės kelius, gatves ir kitas susisiekimo komunikacijas</t>
  </si>
  <si>
    <t>12.03.01.01.</t>
  </si>
  <si>
    <t>Priemonė: Kelių, gatvių, automobilių stovėjimo aikštelių, pėsčiųjų takų ir kitų infrastruktūros elementų remonto ir statybos darbai</t>
  </si>
  <si>
    <t>Rekonstruotų, naujai įrengtų gatvių ir kelių ilgis</t>
  </si>
  <si>
    <t>8,80</t>
  </si>
  <si>
    <t>12.03.01.01.01</t>
  </si>
  <si>
    <t>Veikla: Atlikti rajono savivaldybės Kelių priežiūros ir plėtros programos lėšų naudojimo vietinės reikšmės keliams ir gatvėms tieti, rekonstruoti, taisyti, prižiūrėti ir saugaus eismo sąlygoms užtikrinti  2019 metais objektų sąraše patvirtintų objektų statybos ir remonto darbus.</t>
  </si>
  <si>
    <t>12.03.01.02.</t>
  </si>
  <si>
    <t>Priemonė: Vietinės reikšmės kelių priežiūra, žiemos tarnyba</t>
  </si>
  <si>
    <t>12.03.01.02.01.</t>
  </si>
  <si>
    <t>Veikla: Vykdyti vietinės reikšmės kelių priežiūrą (greideriavimas, žvyravimas, barstymas druskos mišiniu)</t>
  </si>
  <si>
    <t>12.03.01.03. 2019</t>
  </si>
  <si>
    <t>Priemonė: Šakių miesto gatvių  šulinių atstatymo darbai</t>
  </si>
  <si>
    <t>Gatvių, kuriose atstatyti šuliniai (V. Kudirkos g., Vasario 16-osios g.) skaičius .</t>
  </si>
  <si>
    <t>12.03.01.03.01.</t>
  </si>
  <si>
    <t>Veikla: Atlikti V. Kudirkos g., Vasario 16-osios gatvių šulinių  atstatymo darbus</t>
  </si>
  <si>
    <t>12.03.01.04.</t>
  </si>
  <si>
    <t>Priemonė: J. Jablonskio g. Griškabūdžio sen. techninio projekto parengimas</t>
  </si>
  <si>
    <t>12.03.01.04.01.</t>
  </si>
  <si>
    <t>Veikla: Parengti J. Jablonskio g. Griškabūdžio sen. techninį projektą</t>
  </si>
  <si>
    <t>12.03.03.</t>
  </si>
  <si>
    <t>Uždavinys. Renovuoti ir plėtoti savivaldybės vietinės reikšmės kelių ir gatvių, pėsčiųjų ir dviračių takų, gyvenamųjų kvartalų  apšvietimo tinklus, diegti energiją taupančias sistemas</t>
  </si>
  <si>
    <t>12.03.03.01.</t>
  </si>
  <si>
    <t>Priemonė: Renovuoti gatvių apšvietimo tinklus miestuose ir miesteliuose: Užsienių k.; Plokščių k.; Šakių m.</t>
  </si>
  <si>
    <t>Renovuotų apšvietimo tinklų ilgis, kilometrais</t>
  </si>
  <si>
    <t>1,50</t>
  </si>
  <si>
    <t>12.03.03.01.01</t>
  </si>
  <si>
    <t>Veikla: Renovuoti gatvių apšvietimo tinklus miestuose ir miesteliuose gatvėse, kur keičiamos orinės elektros energijos tiekimo linijos</t>
  </si>
  <si>
    <t>12.03.04.</t>
  </si>
  <si>
    <t>Uždavinys. Rekonstruoti ir įrengti naujas automobilių stovėjimo, vaikų žaidimo, poilsio aikšteles savivaldybės bendro naudojimo teritorijose</t>
  </si>
  <si>
    <t>12.03.04.01</t>
  </si>
  <si>
    <t>Priemonė: Renovuotų daugiabučių namų  teritorijų sutvarkymas</t>
  </si>
  <si>
    <t>Sutvarkytų renovuotų daugiabučių namų teritorijų skaičius</t>
  </si>
  <si>
    <t>12.03.04.01.01</t>
  </si>
  <si>
    <t>Veikla: Sutvarkyti renovuotų daugiabučių namų teritorijas</t>
  </si>
  <si>
    <t>12.03.05.</t>
  </si>
  <si>
    <t>Uždavinys.  Diegti ir plėtoti modernias eismo saugumo, informavimo, aplinkosaugos ir reguliavimo priemones</t>
  </si>
  <si>
    <t>12.03.05.01.</t>
  </si>
  <si>
    <t>Priemonė: Gatvių pavadinimų, adresų objektų numerių, informacinių rodyklių pirkimas ir pastatymas</t>
  </si>
  <si>
    <t>Priemonė perkelta vykdyti į 2020 m. dėl mažo poreikio 2019 m.</t>
  </si>
  <si>
    <t>12.03.05.01.01</t>
  </si>
  <si>
    <t>Veikla: Pagal seniūnų pateiktas paraiškas nupirkti gatvių pavadinimus, adresų objektų numerius, informacines rodykles</t>
  </si>
  <si>
    <t>12.03.05.02.</t>
  </si>
  <si>
    <t>Priemonė: Investicinių projektų ir konsultacijų pirkimas</t>
  </si>
  <si>
    <t>Įsigytų investicinių projektų ir konsultacijų teikimo paslaugų skaičius</t>
  </si>
  <si>
    <t>2019 m. nebuvo poreikio</t>
  </si>
  <si>
    <t>12.03.05.02.01.</t>
  </si>
  <si>
    <t>Veikla: Nupirkti investicinių projektų ir konsultacijų paslaugas bei parengti reikiamus dokumentus</t>
  </si>
  <si>
    <t>12.04.</t>
  </si>
  <si>
    <t xml:space="preserve">Tikslas: Gyventojų užimtumo didinimas. </t>
  </si>
  <si>
    <t>12.04.01</t>
  </si>
  <si>
    <t>Uždavinys: Organizuoti užimtumo didinimo programą</t>
  </si>
  <si>
    <t>12.04.01.01</t>
  </si>
  <si>
    <t>Priemonė: Įgyvendinti užimtumo didinimo programą</t>
  </si>
  <si>
    <t>Įdarbintų asmenų skaičius</t>
  </si>
  <si>
    <t>48,00</t>
  </si>
  <si>
    <t>125,00</t>
  </si>
  <si>
    <t>12.04.01.01.01</t>
  </si>
  <si>
    <t>Veikla: Įgyvendinti užimtumo programą</t>
  </si>
  <si>
    <t>12.05.</t>
  </si>
  <si>
    <t>Asta Laurinaitienė, Irena  Žemaitienė, Rimantas  Vaičiūnas</t>
  </si>
  <si>
    <t>12.05.01.</t>
  </si>
  <si>
    <t>Uždavinys. Atlikti melioracijos statinių remonto rekonstrukcijos ir priežiūros darbus</t>
  </si>
  <si>
    <t>12.05.01.01</t>
  </si>
  <si>
    <t>Priemonė: Melioracijos statinių remonto priežiūros darbai</t>
  </si>
  <si>
    <t>11,52</t>
  </si>
  <si>
    <t>Rodiklis pasiektas didesnis, kadangi iš sutaupytų  lėšų įvykdytas papildomai vienas projektas.</t>
  </si>
  <si>
    <t>12.05.01.01.01</t>
  </si>
  <si>
    <t>Veikla: Atlikti sausinimo sistemų rinktuvų, melioracijos griovių bei juose esančių hidrotechninių statinių remonto ir priežiūros darbus.</t>
  </si>
  <si>
    <t>12.05.01.02.</t>
  </si>
  <si>
    <t>Priemonė: Apsemtų teritorijų melioracijos remonto darbai</t>
  </si>
  <si>
    <t>Sutvarkytų gyvenviečių Briedžių k. skaičius</t>
  </si>
  <si>
    <t>Papildomai atlikta Lukšių sen. Adomiškių gyvenvietės drenažo remonto darbai.</t>
  </si>
  <si>
    <t>12.05.01.02.01</t>
  </si>
  <si>
    <t>Veikla: Atlikti Šakių seniūnijoje esančios Biedžių gyvenvietės drenažo rekonstrukcijos darbus (pagal gyventojų prašymą)</t>
  </si>
  <si>
    <t>12.06.</t>
  </si>
  <si>
    <t>Tikslas: Inovatyvi, pažangi žemės ūkio veikla, tausojanti aplinką bei sveikatą</t>
  </si>
  <si>
    <t>Asta Laurinaitienė, Irena  Žemaitienė</t>
  </si>
  <si>
    <t>12.06.01.</t>
  </si>
  <si>
    <t>Uždavinys. Organizuoti renginius ir priemones, kurie skatintų žemės ūkio subjektų bendradarbiavimą, trumpų maisto tiekimo grandinių kūrimą</t>
  </si>
  <si>
    <t>12.06.01.01</t>
  </si>
  <si>
    <t>Priemonė: Įgyvendinti rajono žemės ūkio produkcijos perdirbimo ir rinkodaros strategiją</t>
  </si>
  <si>
    <t>Suorganizuotų seminarų - lauko dienų skaičius</t>
  </si>
  <si>
    <t>Surengtas seminaras-lauko diena tema "Pasinaudojimo ES parama galimybės".</t>
  </si>
  <si>
    <t>12.06.01.01.01</t>
  </si>
  <si>
    <t>Veikla: Įgyvendinant rajono žemės ūkio produkcijos perdirbimo ir rinkodaros strategiją suorganizuoti seminarus/lauko dienas</t>
  </si>
  <si>
    <t>12.06.02.</t>
  </si>
  <si>
    <t>Uždavinys: Teikti paslaugas, konsultuoti žemės ūkio subjektus ES ir nacionalinės paramos investicijų bei kitais žemės ūkio veiklos klausimais</t>
  </si>
  <si>
    <t>12.06.02.01.</t>
  </si>
  <si>
    <t>Priemonė: Žemės ūkio technikos  įregistravimas, išregistravimas, duomenų keitimas, techninių  apžiūrų rengimas</t>
  </si>
  <si>
    <t>Suteiktų paslaugų žemės ūkio technikos įregistravimo, išregistravimo, duomenų keitimo, techninių apžiūrų skaičius</t>
  </si>
  <si>
    <t>5 800,00</t>
  </si>
  <si>
    <t>6 247,00</t>
  </si>
  <si>
    <t>12.06.02.01.01</t>
  </si>
  <si>
    <t>Veikla: Suteikti paslaugas žemės ūkio technikos įregistravimui, išregistravimui, duomenų keitimui, techninių apžiūrų  vykdymui</t>
  </si>
  <si>
    <t>Asta Laurinaitienė</t>
  </si>
  <si>
    <t>12.07.</t>
  </si>
  <si>
    <t>Tikslas: Rajono investicinio patrauklumo didinimas</t>
  </si>
  <si>
    <t>Daiva Palukaitienė</t>
  </si>
  <si>
    <t>12.07.01</t>
  </si>
  <si>
    <t>Uždavinys: Parengti ir nuolat atnaujinti potencialiems investuotojams aktualią informaciją</t>
  </si>
  <si>
    <t>12.07.01.01</t>
  </si>
  <si>
    <t>Priemonė: Parengti, paskelbti ir kartą per ketvirtį atnaujinti laisvų teritorijų ir pastatų registrą.</t>
  </si>
  <si>
    <t>Šakių verslo informacijos centras</t>
  </si>
  <si>
    <t>Laisvų teritorijų ir pastatų atnaujintų registrų skaičius</t>
  </si>
  <si>
    <t>Rengiamas registras, jis nepaskelbtas nepavykus atnaujinti svetainės, todėl naujas registras neparengtas.</t>
  </si>
  <si>
    <t>12.07.01.01.01</t>
  </si>
  <si>
    <t>Veikla: Rengti ir atnaujinti laisvų teritorijų ir pastatų registrus, skelbiant juos atnaujintoje svetainėje</t>
  </si>
  <si>
    <t>12.07.01.02.</t>
  </si>
  <si>
    <t>Priemonė: Parengti ir nuolat atnaujinti verslo finansavimo, paramos galimybių, mokestinių lengvatų aprašą.</t>
  </si>
  <si>
    <t>Mokestinių lengvatų ir paramos galimybių aprašų skaičius</t>
  </si>
  <si>
    <t>12.07.01.02.01</t>
  </si>
  <si>
    <t>Veikla: Rengti ir atnaujinti verslo finansavimo ir lengvatų aprašus, skelbiant juos atnaujintoje svetainėje</t>
  </si>
  <si>
    <t>12.07.02.</t>
  </si>
  <si>
    <t xml:space="preserve">Uždavinys: Užtikrinti operatyvų aktualios informacijos apie verslo galimybes Šakių rajone pateikimą suinteresuotoms pusėms        </t>
  </si>
  <si>
    <t>12.07.02.01.</t>
  </si>
  <si>
    <t>Priemonė: Kiekvieną savaitę atnaujinti verslui aktualią informaciją internete (taip pat ir anglų kalba)</t>
  </si>
  <si>
    <t>Atnaujintos verslui aktualios informacijos interneto kanaluose skaičius</t>
  </si>
  <si>
    <t>32,00</t>
  </si>
  <si>
    <t>12.07.02.01.01</t>
  </si>
  <si>
    <t>Veikla: Nuolat atnaujinti verslui aktualią informaciją įstaigos feisbuko paskyroje, svetainėje</t>
  </si>
  <si>
    <t>12.07.03.</t>
  </si>
  <si>
    <t xml:space="preserve">Uždavinys: Inicijuoti, organizuoti ir vykdyti bendras savivaldos ir verslo misijas į tarptautinius kontaktų, investuotojų paieškos, galimybių verslui Šakių rajone pristatymo renginius   </t>
  </si>
  <si>
    <t>12.07.03.01</t>
  </si>
  <si>
    <t>Priemonė: Organizuoti savivaldos ir verslo misiją į Lenkiją susipažinti su verslo skatinimo patirtimi ir pristatyti verslo galimybes Šakiuose</t>
  </si>
  <si>
    <t>Suorganizuotų verslo išvykų skaičius</t>
  </si>
  <si>
    <t>Priemonė nevykdyta, perkelta į 2020 m.</t>
  </si>
  <si>
    <t>12.07.03.01.01</t>
  </si>
  <si>
    <t>Veikla: Surinkti verslo misjos dalyvių grupę   sudaryti maršrutą,užsakyti transportą</t>
  </si>
  <si>
    <t>12.08.</t>
  </si>
  <si>
    <t>Tikslas: Vietos valdžios ir verslo subjektų bendradarbiavimo efektyvinimas.</t>
  </si>
  <si>
    <t>12.08.01</t>
  </si>
  <si>
    <t>Uždavinys:Sistemingai analizuoti verslo ketinimus ir poreikius, investicinius planus, žmogiškųjų išteklių paklausą/pasiūlą, verslo būklę ir tendencijas</t>
  </si>
  <si>
    <t>12.08.01.01.</t>
  </si>
  <si>
    <t>Priemonė: Rengti susitarimus, organizuoti susitikimus dėl verslo sąlygų gerinimo, ruošti jiems informaciją</t>
  </si>
  <si>
    <t>Tyrimų, analizių skaičius</t>
  </si>
  <si>
    <t>Susitikimų, diskusijų, forumų skaičius</t>
  </si>
  <si>
    <t>12.08.01.01.01.</t>
  </si>
  <si>
    <t>Veikla: Rengti informaciją verslui aktualiais klausimais ir pateikti ją svarstymui Verslo tarybai, verslo ir valdžios atstovams</t>
  </si>
  <si>
    <t>12.08.01.01.02</t>
  </si>
  <si>
    <t>Veikla: Organizuoti verslo pusryčius, forumus, diskusijas aptarti aktualius verslui klausimus</t>
  </si>
  <si>
    <t>12.08.02.</t>
  </si>
  <si>
    <t>Uždavinys: Skatinant verslo ir savivaldos bendradarbiavimą formuoti palankią visuomenės  nuomonę apie verslą ir verslumą.</t>
  </si>
  <si>
    <t>12.08.02.01</t>
  </si>
  <si>
    <t>Priemonė: Organizuoti reprezentacinius verslą pristatančius renginius, ugdyti jaunimo verslumą</t>
  </si>
  <si>
    <t>Verslumo renginių jaunimui skaičius</t>
  </si>
  <si>
    <t>Verslą pristatančių renginių skaičius</t>
  </si>
  <si>
    <t>12.08.02.01.01</t>
  </si>
  <si>
    <t>Veikla: Organizuoti jaunimo verslumą ugdančius renginius</t>
  </si>
  <si>
    <t>12.08.02.01.02</t>
  </si>
  <si>
    <t>Veikla: Organizuoti konkursą „Sukurta Šakių krašte“ ir Verslo dieną</t>
  </si>
  <si>
    <t>12.08.02.01.03</t>
  </si>
  <si>
    <t>Veikla: Organizuoti prekybines muges</t>
  </si>
  <si>
    <t>12.09.</t>
  </si>
  <si>
    <t>Tikslas: Rajono verslo subjektų konkurencingumo augimas.</t>
  </si>
  <si>
    <t>12.09.01</t>
  </si>
  <si>
    <t>Uždavinys:Aktualizuoti  paramos verslui sistemą siekiant tvaraus teigiamo poveikio verslo konkurencingumo augimui.</t>
  </si>
  <si>
    <t>12.09.01.01.</t>
  </si>
  <si>
    <t>Priemonė: Skatinti beprocentinių verslo paskolų teikimą rajono SVV subjektams.</t>
  </si>
  <si>
    <t>Suteiktų grąžintinų paramų (paskolų) skaičius</t>
  </si>
  <si>
    <t>12.09.01.01.01</t>
  </si>
  <si>
    <t>Veikla: Skelbi 4 kvietimus beprocentėms verslo paskoloms gauti</t>
  </si>
  <si>
    <t>12.09.01.02.</t>
  </si>
  <si>
    <t>Priemonė: Teikti paramą SVV subjektams, plėtojantiems verslo plėtros strategijoje numtatytas vertės grandinę papildančias veiklas, kuriantiems bendradarbiavimo struktūras.</t>
  </si>
  <si>
    <t>Suteiktų negrąžintinų paramų  skaičius</t>
  </si>
  <si>
    <t>12.09.01.02.01.</t>
  </si>
  <si>
    <t>Veikla: Skelbti du kartus paraiškų rinkimą įmonės įsteigimo išlaidų, įrangos įsigijimo kompensavimo, jaunimo idėjų finansavimo ir kt. priemonėms</t>
  </si>
  <si>
    <t>12.09.02.</t>
  </si>
  <si>
    <t>Uždavinys:Skatinti viešųjų paslaugų prieinamumą verslo pradžiai</t>
  </si>
  <si>
    <t>12.09.02.01.</t>
  </si>
  <si>
    <t>Priemonė: Sukurti verslo informacijos centro veiklos modelį, užtikrinantį visokeriopą informacinę, konsultacinę pagalbą verslo subjektams.</t>
  </si>
  <si>
    <t>Asmenų, gavusių verslo konsultacijas, skaičius</t>
  </si>
  <si>
    <t>asm</t>
  </si>
  <si>
    <t>Parengtų paraiškų skaičius</t>
  </si>
  <si>
    <t>Administruojamų SVV plėtros fondo kvietimų skaičius</t>
  </si>
  <si>
    <t>Mokymų, informacinių renginių skaičius</t>
  </si>
  <si>
    <t>12.09.02.01.01</t>
  </si>
  <si>
    <t>Veikla: Konsultuoti verslo subjektus verslo pradžios ir plėtros klausimais</t>
  </si>
  <si>
    <t>12.09.02.01.02</t>
  </si>
  <si>
    <t>Veikla: Konsultuoti ir teikti metodinę pagalbą finansavimo gavimo, paraiškų rengimo  klausimais</t>
  </si>
  <si>
    <t>12.09.02.01.03</t>
  </si>
  <si>
    <t>Veikla: Konsultuoti SVVPF finansavimo, paramos klausimais, administruoti fondą</t>
  </si>
  <si>
    <t>12.09.02.01.04</t>
  </si>
  <si>
    <t>Veikla: Organizuoti mokymus, seminarus, informacinius renginius verslui aktualiomis temomis</t>
  </si>
  <si>
    <t>13.</t>
  </si>
  <si>
    <t>Socialinės ir sveikatos apsaugos programa</t>
  </si>
  <si>
    <t>Socialinės paramos skyrius</t>
  </si>
  <si>
    <t>Daiva  Pilypaitytė</t>
  </si>
  <si>
    <t>13.01.</t>
  </si>
  <si>
    <t>13.01.01.</t>
  </si>
  <si>
    <t>Uždavinys.Teikti socialinės globos paslaugas</t>
  </si>
  <si>
    <t>Daiva  Pilypaitytė, Virginija Ratkevičienė</t>
  </si>
  <si>
    <t>13.01.01.01.</t>
  </si>
  <si>
    <t>Priemonė: Įgyvendinti projektą "Integralios pagalbos plėtra Šakių rajone"</t>
  </si>
  <si>
    <t>Asmenų, gavusių  integralios pagalbos paslaugas, skaičius</t>
  </si>
  <si>
    <t>91,00</t>
  </si>
  <si>
    <t>116,00</t>
  </si>
  <si>
    <t>Priemonės rodiklis viršytas dėl asmenų kaitos.</t>
  </si>
  <si>
    <t>13.01.01.01.01</t>
  </si>
  <si>
    <t>Veikla: Teikti Integralios pagalbos namuose paslaugas. Paslaugų teikėjas - Socialinių paslaugų centras</t>
  </si>
  <si>
    <t>13.01.01.01.02</t>
  </si>
  <si>
    <t>Veikla: Teikti Integralios pagalbos namuose paslaugas. Paslaugų teikėjas - UAB D. Zaleskienės abbulatorija</t>
  </si>
  <si>
    <t>13.01.01.02.</t>
  </si>
  <si>
    <t>Priemonė:Teikti dienos socialinės globos  paslaugas institucijoje. D. C.</t>
  </si>
  <si>
    <t>Asmenų, gavusių darbinio užimtumo paslaugas Paluobių daugiafunkcio centro, skaičius</t>
  </si>
  <si>
    <t>11,00</t>
  </si>
  <si>
    <t>Asmenų, gavusių darbinio užimtumo iš Vaikų globos namų dienos užimtumo centro, skaičius</t>
  </si>
  <si>
    <t>Asmenų, gavusių darbinio užimtumo paslaugas  iš  Gelgaudiškio "Šaltinio specialiojo ugdymo centro" dienos centro, skaičius</t>
  </si>
  <si>
    <t>17,00</t>
  </si>
  <si>
    <t>13.01.01.02.01</t>
  </si>
  <si>
    <t>Veikla: Teikti socialinės globos paslaugas. Paslaugų tiekėjas- dienos užimtumo centras prie Paluobių daugiafunkcio centro</t>
  </si>
  <si>
    <t>13.01.01.02.02</t>
  </si>
  <si>
    <t>Veikla: Teikti socialinės globos paslaugas. Paslaugų teikėjas - Vaikų globos namų dienos užimtumo centras.</t>
  </si>
  <si>
    <t>13.01.01.02.03</t>
  </si>
  <si>
    <t>Veikla: Teikti socialinės globos paslaugas. Paslaugų teikėjas - Gelgaudiškio "Šaltinio specialiojo ugdymo centro" dienos centras</t>
  </si>
  <si>
    <t>13.01.01.04.</t>
  </si>
  <si>
    <t>Priemonė.Teikti trumpalaikės globos paslaugas vaikams, likusiems be tėvų globos.</t>
  </si>
  <si>
    <t>Vaikų, likusių be tėvų globos, gavusių trumpalaikės globos paslaugas, skaičius</t>
  </si>
  <si>
    <t>Priemonės rodiklis pasiektas mažesnis, kadangi mažiau vaikų reikėjo suteikti trumpalaikės globos paslaugas vaikams.</t>
  </si>
  <si>
    <t>13.01.01.04.01</t>
  </si>
  <si>
    <t>Veikla: Trumpalaikės globos paslaugų teikimas vaikams, likusiems be tėvų globos.</t>
  </si>
  <si>
    <t>13.01.01.05.</t>
  </si>
  <si>
    <t xml:space="preserve">Priemonė. Teikti ilgalaikės ir trumpalaikės globos paslaugas socialinės rizikos šeimų  vaikams </t>
  </si>
  <si>
    <t>Socialinės rizikos vaikų, likusių be tėvų globos, gavusių trumpalaikės ir ilgalaikės globos paslaugas, skaičius</t>
  </si>
  <si>
    <t>37,00</t>
  </si>
  <si>
    <t>23,00</t>
  </si>
  <si>
    <t>Priemonės rodiklis pasiektas mažesnis, kadangi mažiau vaikų reikėjo suteikti paslaugas.</t>
  </si>
  <si>
    <t>13.01.01.05.01</t>
  </si>
  <si>
    <t>Veikla: Ilgalaikės ir trumpalaikės globos paslaugų teikimas socialinės rizikos šeimų  vaikams - Paslaugų teikėjas - VšĮ Šakių vaikų globos namai.</t>
  </si>
  <si>
    <t>13.01.01.06.</t>
  </si>
  <si>
    <t>Priemonė. Teikti ilgalaikės ir trumpalaikės globos paslaugas socialinės rizikos šeimų vaikams šeimynose</t>
  </si>
  <si>
    <t>Vaikų, gavusių ilgalaikės ir trumpalaikės socialinės globos paslaugas  šeimynose, skaičius</t>
  </si>
  <si>
    <t>26,00</t>
  </si>
  <si>
    <t>Priemonės rodiklis viršytas, kadangi buvo įsteigta nauja šeimyna.</t>
  </si>
  <si>
    <t>13.01.01.06.01</t>
  </si>
  <si>
    <t>Veikla: Lėšos, skirtos šeimynos dalyvių išlaikymui</t>
  </si>
  <si>
    <t>13.01.01.06.02</t>
  </si>
  <si>
    <t>Veikla: Lėšos, skirtos teikti ilgalaikės ir trumpalaikės globos paslaugas socialinės rizikos šeimų  vaikams</t>
  </si>
  <si>
    <t>13.01.01.06.03</t>
  </si>
  <si>
    <t>Veikla: Pagalbos pinigai, skirti   šeimoms ir šeimynoms, globojantiems vaikus</t>
  </si>
  <si>
    <t>13.01.01.07.</t>
  </si>
  <si>
    <t>Priemonė.Finansuoti ilgalaikės socialinės globos paslaugas asmenims, kuriems paslaugas teikia  valstybinės ir kitos  socialinių  paslaugų įstaigos.</t>
  </si>
  <si>
    <t>Ilgalaikės socialinės globos paslaugas gavusių asmenų, gyvenančių valstybiniuose globos namuose, skaičius</t>
  </si>
  <si>
    <t>35,00</t>
  </si>
  <si>
    <t>Priemonės rodiklis viršytas dėl asmenų ir jų poreikių kaitos.</t>
  </si>
  <si>
    <t>13.01.01.07.01</t>
  </si>
  <si>
    <t>Veikla: Ilgalaikės globos paslaugų finansavimas rajono gyventojams, gyvenantiems valstybinėse ir kitose socialinų paslaugų įstaigose.</t>
  </si>
  <si>
    <t>13.01.01.08.</t>
  </si>
  <si>
    <t>Priemonė. Plėsti bendradarbiavimą su nevyriausybinių organizacijų įsteigtais socialinės globos namais .</t>
  </si>
  <si>
    <t>Ilgalaikės socialinės globos paslaugas gavusių asmenų, gyvenančių parapijiniuose globos namuose, skaičius</t>
  </si>
  <si>
    <t>60,00</t>
  </si>
  <si>
    <t>64,00</t>
  </si>
  <si>
    <t>13.01.01.08.01</t>
  </si>
  <si>
    <t>Veikla: Ilgalaikės globos paslaugų teikimas neįgaliems, vienišiems rajono gyventojams - paslaugų teikėjas  Kudirkos Naumiesčio parapijos socialinės pagalbos centras</t>
  </si>
  <si>
    <t>13.01.01.08.02</t>
  </si>
  <si>
    <t>Veikla: Ilgalaikės globos paslaugų teikimas neįgaliems, vienišiems rajono gyventojams - paslaugų teikėjas Šakių parapijos globos ir užimtumo centras.</t>
  </si>
  <si>
    <t>13.01.02.</t>
  </si>
  <si>
    <t>Uždavinys.Teikti socialinės priežiūros paslaugas</t>
  </si>
  <si>
    <t>13.01.02.02.</t>
  </si>
  <si>
    <t>Priemonė.Teikti  laikino apgyvendinimo paslaugas socialiai pažeidžiamiems asmenims. "Vilties žiedas"</t>
  </si>
  <si>
    <t>Asmenų, gavusių laikino apgyvendinimo paslaugas, skaičius</t>
  </si>
  <si>
    <t>Priemonės rodiklis mažesnis dėl mažos paslaugų gavėjų kaitos.</t>
  </si>
  <si>
    <t>13.01.02.02.01</t>
  </si>
  <si>
    <t>Veikla: Teikti socialinės priežiūros paslaugas, socialinės rizikos šeimoms ir jų nariams ir suaugusiems asmenims su negalia</t>
  </si>
  <si>
    <t>13.01.02.03.</t>
  </si>
  <si>
    <t>Priemonė: Plėtoti vaikų dienos centrų tinklą.</t>
  </si>
  <si>
    <t>Vaikų, gavusių  paslaugas dienos centruose, skaičius</t>
  </si>
  <si>
    <t>145,00</t>
  </si>
  <si>
    <t>Priemonės rodiklis viršytas dėl prasiplėtusios VDC veiklos.</t>
  </si>
  <si>
    <t>13.01.02.03.01.</t>
  </si>
  <si>
    <t>Veikla: Teikti socialines priežiūros paslaugas vaikų dienos centruose</t>
  </si>
  <si>
    <t>13.01.03.</t>
  </si>
  <si>
    <t>Uždavinys. Vykdyti  neįgaliųjų integracijos programą.</t>
  </si>
  <si>
    <t>13.01.03.01.</t>
  </si>
  <si>
    <t>Priemonė. Teikti specialaus transporto paslaugas neįgaliesiems</t>
  </si>
  <si>
    <t>Specialaus transporto paslaugas gavusių neįgaliųjų skaičius</t>
  </si>
  <si>
    <t>1 990,00</t>
  </si>
  <si>
    <t>2 177,00</t>
  </si>
  <si>
    <t>Priemonės rodiklis viršytas dėl išaugusio paslaugų besikreipiančių gavėjų skaičiaus.</t>
  </si>
  <si>
    <t>13.01.03.01.01</t>
  </si>
  <si>
    <t>Veikla: Spec. transporto paslaugų teikimas neįgaliems asmenims. Paslaugų teikėjas- Šakių r. neįgaliųjų draugija</t>
  </si>
  <si>
    <t>13.01.03.01.02</t>
  </si>
  <si>
    <t>Veikla: Spec. transporto paslaugų teikimas neįgaliems asmenims. Paslaugų teikėjas - Šakių r. žmonių su negalia sąjunga</t>
  </si>
  <si>
    <t>13.01.03.02.</t>
  </si>
  <si>
    <t>Priemonė. Pritaikyti  būsto aplinką neįgaliesiems.</t>
  </si>
  <si>
    <t>Pritaikytų  būstų   neįgaliesiems skaičius</t>
  </si>
  <si>
    <t>Priemonės rodiklis nepilnai įgyvendintas, kadangi iš valstybės biudžeto buvo skirta nepakankamai lėšų.</t>
  </si>
  <si>
    <t>13.01.03.02.01</t>
  </si>
  <si>
    <t>Veikla: Pritaikyti  būsto aplinką neįgaliesiems jų namuose.</t>
  </si>
  <si>
    <t>13.01.03.03.</t>
  </si>
  <si>
    <t>Priemonė.Remti tikslines socialinių paslaugų  teikimo žmonėms su negalia programas</t>
  </si>
  <si>
    <t>Tikslinių socialinių paslaugų  teikimo žmonėms su negalia programų skaičius</t>
  </si>
  <si>
    <t>13.01.03.03.01</t>
  </si>
  <si>
    <t>Veikla: NVO organizacijų programų rėmimas</t>
  </si>
  <si>
    <t>13.01.03.04.</t>
  </si>
  <si>
    <t>Priemonė: Finansuoti socialinės reabilitacijos paslaugų neįgaliesiems bendruomenėje projektų įgyvendinimą (funkcija iš SADMNDT perduota savivaldybėms nuo 2012.01.01.)</t>
  </si>
  <si>
    <t>Socialinės reabilitacijos paslaugų neįgaliesiems bendruomenėje finansuojamų  projektų skaičius</t>
  </si>
  <si>
    <t>Priemonės rodiklis nepilnai įgyvendintas, kadangi skirtas mažesnis finansavimas.</t>
  </si>
  <si>
    <t>13.01.03.04.01</t>
  </si>
  <si>
    <t>Veikla: Socialinės reabilitacijos paslaugų neįgaliesiems bendruomenėje projektų finansavimas.</t>
  </si>
  <si>
    <t>13.01.04.</t>
  </si>
  <si>
    <t>Uždavinys. Teikti bendrąsias paslaugas</t>
  </si>
  <si>
    <t>13.01.04.02.</t>
  </si>
  <si>
    <t>Priemonė: Žmogaus palaikų patologinės anatomijos tyrimams ar teismo ekspertizei vežimo, saugojimo ir laidojimo paslaugos teikimas</t>
  </si>
  <si>
    <t>Žuvusių ar mirusių asmenų, pervežtų ekspertizei atlikti, skaičius</t>
  </si>
  <si>
    <t>Priemonės rodiklis viršytas, kadangi didėja mirusių asmenų skaičius.</t>
  </si>
  <si>
    <t>13.01.04.02.01.</t>
  </si>
  <si>
    <t>Veikla: Pervežti ekspertizei atlikti žuvusius ar mirusius asmenis</t>
  </si>
  <si>
    <t>13.01.04.03.</t>
  </si>
  <si>
    <t>Priemonė: Teikti intervencinę pagalbą (maisto produktais ir kt.)</t>
  </si>
  <si>
    <t>Suteikta intervecinė pagalba šeimoms (maisto produktais ir kt.), skaičius</t>
  </si>
  <si>
    <t>600,00</t>
  </si>
  <si>
    <t>Priemonės vykdymas perduotas NVO.</t>
  </si>
  <si>
    <t>13.01.04.03.01</t>
  </si>
  <si>
    <t>Veikla: Suteikti intervencinę pagalbą šeimoms (maisto produktais ir kt.)</t>
  </si>
  <si>
    <t>13.02.</t>
  </si>
  <si>
    <t>Tikslas: Socialinių paslaugų aprėpties didinimas.</t>
  </si>
  <si>
    <t>13.02.02.</t>
  </si>
  <si>
    <t>Uždavinys. Socialinės globos ir priežiūros paslaugų plėtra</t>
  </si>
  <si>
    <t>13.02.02.01.</t>
  </si>
  <si>
    <t>Priemonė.Socialinių paslaugų plėtra.</t>
  </si>
  <si>
    <t>Asmenų, gavusių paslaugas, skaičius</t>
  </si>
  <si>
    <t>13.02.02.01.01</t>
  </si>
  <si>
    <t>Veikla: Plėsti socialinių paslaugų tinklą, suteikiant papildomas socialines paslaugas</t>
  </si>
  <si>
    <t>13.02.02.02.</t>
  </si>
  <si>
    <t>Priemonė. Įgyvendinti projektą „Bendruomeninių vaikų globos namų ir vaikų dienos centrų tinklo plėtra Šakių rajone“</t>
  </si>
  <si>
    <t>Milda Savukaitienė</t>
  </si>
  <si>
    <t>Įsteigtų naujų vaikų dienos centrų, skaičius</t>
  </si>
  <si>
    <t>Parengtų techninių projektų bendruomeninių vaikų globos namų statybai, skaičius</t>
  </si>
  <si>
    <t>Naujai pastatytų objektų, bendruomeninių vaikų globos namų Šakiuose, skaičius</t>
  </si>
  <si>
    <t>Įveiklinti  vaikų dienos centro Lekėčiuose veiklas</t>
  </si>
  <si>
    <t>13.02.02.02.01</t>
  </si>
  <si>
    <t>Veikla: Remontuoti ir įveiklinti Sintautų vaikų dienos centrą</t>
  </si>
  <si>
    <t>13.02.03.</t>
  </si>
  <si>
    <t>Uždavinys. Kompleksinių socialinių paslaugų plėtra globėjų ir įtėvių šeimoms</t>
  </si>
  <si>
    <t>13.02.03.01.</t>
  </si>
  <si>
    <t>Priemonė.Naujų socialinių globėjų paieška ir rengimas.</t>
  </si>
  <si>
    <t>Parengtų socialinių globėjų skaičius</t>
  </si>
  <si>
    <t>Priemonės rodiklis viršytas, kadangi atsirado daugiau asmenų, pageidaujančių tapti socialiniais globėjais.</t>
  </si>
  <si>
    <t>13.02.03.01.01</t>
  </si>
  <si>
    <t>Veikla: Parengti naujus socialinius globėjus</t>
  </si>
  <si>
    <t>13.02.04.</t>
  </si>
  <si>
    <t>Uždavinys. Socialinių paslaugų poreikio nustatymo ir teikimo metodikos tobulinimas ir kokybės gerinimo priemonių diegimas.</t>
  </si>
  <si>
    <t>13.02.04.01.</t>
  </si>
  <si>
    <t>Priemonė.Tobulinti socialinių paslaugų poreikio nustatymą.</t>
  </si>
  <si>
    <t>Parengtų priemonių skaičius</t>
  </si>
  <si>
    <t>Priemonės vykdymui nebuvo skirtas finansavimas.</t>
  </si>
  <si>
    <t>13.02.04.01.01</t>
  </si>
  <si>
    <t>Veikla: Parengti priemones socialinių paslaugų poreikio nustatymui</t>
  </si>
  <si>
    <t>13.02.05.</t>
  </si>
  <si>
    <t>Uždavinys. Socialinio darbo seniūnijose tobulinimas, socialinio darbuotojo statuso visuomenėje gerinimas.</t>
  </si>
  <si>
    <t>13.02.05.01.</t>
  </si>
  <si>
    <t xml:space="preserve">Priemonė.Socialinių darbuotojų išlaikymas ir kvalifikacijos kėlimas. </t>
  </si>
  <si>
    <t>Parengtų programų skaičius</t>
  </si>
  <si>
    <t>13.02.05.01.01</t>
  </si>
  <si>
    <t>Veikla: Socialinį darbą dirbantys asmenys</t>
  </si>
  <si>
    <t>13.02.06.</t>
  </si>
  <si>
    <t>Uždavinys. Finansinės pagalbos  rajono  gyventojams teikimas ir didinimas.</t>
  </si>
  <si>
    <t>13.02.06.01.</t>
  </si>
  <si>
    <t xml:space="preserve">Priemonė.Mokėti socialines išmokas rajono gyventojams.  </t>
  </si>
  <si>
    <t>Rajono gyventojų, gavusių piniginę socialinę paramą, skaičius</t>
  </si>
  <si>
    <t>10 250,00</t>
  </si>
  <si>
    <t>14 900,00</t>
  </si>
  <si>
    <t>Priemonės rodiklis viršytas, kadangi ekonominės problemos lėmė didesnį besikreipiančių asmenų skaičių.</t>
  </si>
  <si>
    <t>13.02.06.01.01</t>
  </si>
  <si>
    <t>Veikla: Pašalpų, šildymo kompensacijų mokėjimas rajono gyventojams.</t>
  </si>
  <si>
    <t>13.02.06.02.</t>
  </si>
  <si>
    <t xml:space="preserve">Priemonė.Mokėti vienkartines tikslines išmokas rajono gyventojams.  </t>
  </si>
  <si>
    <t>Rajono gyventojų, gavusių vienkartines tikslines išmokas, skaičius</t>
  </si>
  <si>
    <t>280,00</t>
  </si>
  <si>
    <t>339,00</t>
  </si>
  <si>
    <t>Priemonės rodiklis viršytas, dėl žmonių skaičiaus kaitos ir iškilusių socialinių problemų.</t>
  </si>
  <si>
    <t>13.02.06.02.01</t>
  </si>
  <si>
    <t>Veikla: Vienkartinių pašalpų mokėjimas rajono gyventojams, stichinių nelaimių, gaisro ir kt.  atvejais.</t>
  </si>
  <si>
    <t>13.02.06.04.</t>
  </si>
  <si>
    <t>Priemonė. Teikti transporto išlaidų kompensacijas.</t>
  </si>
  <si>
    <t>Rajono gyventojų, gavusių transporto išlaidų kompensacijas, skaičius</t>
  </si>
  <si>
    <t>36 129,00</t>
  </si>
  <si>
    <t>Priemonės rodiklis viršytas, nes transporto lengvata pasinaudojo didesnis neįgaliųjų skaičius.</t>
  </si>
  <si>
    <t>13.02.06.04.01</t>
  </si>
  <si>
    <t>Veikla: Transporto išlaidų dalies kompensavimas neįgaliems asmenims.</t>
  </si>
  <si>
    <t>13.02.06.05.</t>
  </si>
  <si>
    <t>Priemonė. Socialinės paramos programa mokiniams.</t>
  </si>
  <si>
    <t>Nemokamą maitinimą gavusių mokinių skaičius</t>
  </si>
  <si>
    <t>961,00</t>
  </si>
  <si>
    <t>954,00</t>
  </si>
  <si>
    <t>Priemonės rodiklis mažesnis, dėl mažėjančių mokinių skaičiaus.</t>
  </si>
  <si>
    <t>Nemokamų mokymo reikmenų gavusių mokinių skaičius</t>
  </si>
  <si>
    <t>945,00</t>
  </si>
  <si>
    <t>896,00</t>
  </si>
  <si>
    <t>13.02.06.05.01.</t>
  </si>
  <si>
    <t>Veikla: Nemokamų mokymo reikmenų  ir nemokamo maitinimo suteikimas mokiniams</t>
  </si>
  <si>
    <t>13.02.06.06</t>
  </si>
  <si>
    <t>Priemonė: Mokėti laidojimo pašalpas</t>
  </si>
  <si>
    <t>Išmokėtų laidojimo pašalpų skaičius</t>
  </si>
  <si>
    <t>625,00</t>
  </si>
  <si>
    <t>466,00</t>
  </si>
  <si>
    <t>Priemonės rodiklis mažesnis, nes mažiau asmenų kreipėsi dėl laidojimo pašalpos.</t>
  </si>
  <si>
    <t>13.02.06.06.01</t>
  </si>
  <si>
    <t>Veikla: Išmokėti laidojimo pašalpas</t>
  </si>
  <si>
    <t>13.02.07.</t>
  </si>
  <si>
    <t>Uždavinys. Sąlygų imigrantams kurtis Šakių rajone sudarymas</t>
  </si>
  <si>
    <t>13.02.07.01.</t>
  </si>
  <si>
    <t>Priemonė. Inicijuoti programų, imigrantams įsikurti, parengimą.</t>
  </si>
  <si>
    <t>13.02.07.01.01</t>
  </si>
  <si>
    <t>Veikla: Inicijuoti programos imigrantams (įsikurti) parengimą</t>
  </si>
  <si>
    <t>13.02.08.</t>
  </si>
  <si>
    <t>Uždavinys. Universalaus dizaino aplinkos pritaikymas</t>
  </si>
  <si>
    <t>13.02.08.01.</t>
  </si>
  <si>
    <t>Priemonė. Pritaikyti visuomenės paskirties objektus neįgaliesiems.</t>
  </si>
  <si>
    <t>Pritaikytų visuomenės paskirties objektų skaičius</t>
  </si>
  <si>
    <t>13.02.08.01.01</t>
  </si>
  <si>
    <t>Veikla: Sudaryti sąlygas neįgaliesiems patekti į viešąsias įstaigas.</t>
  </si>
  <si>
    <t>13.02.09.</t>
  </si>
  <si>
    <t>Uždavinys. Šakių rajono socialinio būsto fondo plėtra</t>
  </si>
  <si>
    <t>13.02.09.01.</t>
  </si>
  <si>
    <t>Priemonė.Suteikti socialinio būsto paslaugas rajono gyventojams.</t>
  </si>
  <si>
    <t>Asmenų, gavusių socialinį būstą, skaičius</t>
  </si>
  <si>
    <t>Priemonės rodiklis mažesnis, nes yra butų stoka, kurie atitinka reikalavimus.</t>
  </si>
  <si>
    <t>13.02.09.01.01</t>
  </si>
  <si>
    <t>Veikla: Teikti rajono gyventojams socialinio būsto paslaugas</t>
  </si>
  <si>
    <t>13.02.09.02.</t>
  </si>
  <si>
    <t>Priemonė.Socialinio būsto remontas.</t>
  </si>
  <si>
    <t>Suremontuotų socialinių būstų, skaičius</t>
  </si>
  <si>
    <t>13.02.09.02.01</t>
  </si>
  <si>
    <t>Veikla: Savivaldybės administracija prisideda prie rajono socialinio būsto remonto.</t>
  </si>
  <si>
    <t>13.03.</t>
  </si>
  <si>
    <t>Tikslas: Saugumą užtikrinančių priemonių diegimas</t>
  </si>
  <si>
    <t>Daiva  Pilypaitytė, Gintautas Vedegys</t>
  </si>
  <si>
    <t>13.03.01.</t>
  </si>
  <si>
    <t>Uždavinys. Užtikrinti viešojo saugumo paslaugas priešgaisrinės saugos srityje</t>
  </si>
  <si>
    <t>13.03.01.01.</t>
  </si>
  <si>
    <t>Priemonė.Atnaujinti gaisrinius automobilius.</t>
  </si>
  <si>
    <t>Šakių rajono savivaldybės priešgaisrinė tarnyba</t>
  </si>
  <si>
    <t>Atnaujintų gaisrinių automobilių skaičius</t>
  </si>
  <si>
    <t>13.03.01.01.01</t>
  </si>
  <si>
    <t>Veikla: Atnaujinti gaisrinius automobilius.</t>
  </si>
  <si>
    <t>13.03.02.</t>
  </si>
  <si>
    <t>Uždavinys. Sudaryti tinkamas darbo sąlygas  seniūnijų ugniagesiams.</t>
  </si>
  <si>
    <t>13.03.02.01.</t>
  </si>
  <si>
    <t>Priemonė.Sumontuoti GPS įrangą.</t>
  </si>
  <si>
    <t>Sumontuotų GPS įrangų skaičius.</t>
  </si>
  <si>
    <t>Priemonės rodiklios viršijimą lėmė rinkos kainos.</t>
  </si>
  <si>
    <t>13.03.02.01.01</t>
  </si>
  <si>
    <t>Veikla: Sumontuoti GPS įrangą.</t>
  </si>
  <si>
    <t>13.03.03.</t>
  </si>
  <si>
    <t>Uždavinys. Įgyvendinti priemones, skirtas socialiai remtiniems asmenims</t>
  </si>
  <si>
    <t>13.03.03.01.</t>
  </si>
  <si>
    <t>Priemonė.Aprūpinti socialiai remtinus asmenis dūmų detektoriais.</t>
  </si>
  <si>
    <t>Aprūpinti socialiai remtinus asmenis dūmų detektoriais</t>
  </si>
  <si>
    <t>156,00</t>
  </si>
  <si>
    <t>Priemonės rodiklis viršytas, nes nupirkta daugiau dūmų detektorių, dėl rinkos kainos.</t>
  </si>
  <si>
    <t>13.03.03.01.01</t>
  </si>
  <si>
    <t>Veikla: Sumontuoti dūmų detektorius socialiai remtiniems asmenmis.</t>
  </si>
  <si>
    <t>13.03.04.</t>
  </si>
  <si>
    <t>Uždavinys. Įgyvendinti prevencines programas</t>
  </si>
  <si>
    <t>Edita Zubrickienė</t>
  </si>
  <si>
    <t>13.03.04.01</t>
  </si>
  <si>
    <t>Priemonė: Vykdyti savižudybių prevencijos programą</t>
  </si>
  <si>
    <t>Įgyvendinamų savižudybių prevencijos programų skaičius</t>
  </si>
  <si>
    <t>13.03.04.01.01</t>
  </si>
  <si>
    <t>Veikla: Įgyvendinti savižudybių prevencijos programą</t>
  </si>
  <si>
    <t>13.04.</t>
  </si>
  <si>
    <t>13.04.01.</t>
  </si>
  <si>
    <t>Uždavinys. Skatinti sveiką gyvenseną ir vykdyti ligų prevenciją</t>
  </si>
  <si>
    <t>13.04.01.01.</t>
  </si>
  <si>
    <t>Priemonė: Vykdyti ligų prevenciją per visuomenės sveikatos aplinkos monitoringą</t>
  </si>
  <si>
    <t>Monitoringų skaičius</t>
  </si>
  <si>
    <t>13.04.01.01.01</t>
  </si>
  <si>
    <t>Veikla: Atlikti maudyklų vandens kokybės stebėseną: rajono maudyklų vandens kokybės ir paplūdimių dirvožemio tyrimai</t>
  </si>
  <si>
    <t>13.05.</t>
  </si>
  <si>
    <t>Tikslas: Kokybiškas sveikatos priežiūros prieinamumas ir užtikrinimas.</t>
  </si>
  <si>
    <t>13.05.01.</t>
  </si>
  <si>
    <t>Uždavinys. Atnaujinti sveikatos priežiūros paslaugas teikiančių savivaldybės įstaigų infrastruktūrą</t>
  </si>
  <si>
    <t>13.05.01.01.</t>
  </si>
  <si>
    <t>Priemonė: Užtikrinti kokybišką sveikatos priežiūros paslaugų prieinamumą</t>
  </si>
  <si>
    <t>Sutvarkytų sveikatos įstaigų teritorijų plotas (m2)</t>
  </si>
  <si>
    <t>m2</t>
  </si>
  <si>
    <t>500,00</t>
  </si>
  <si>
    <t>735,00</t>
  </si>
  <si>
    <t>Įdiegtų elektroninių paslaugų apimtis įstaigose</t>
  </si>
  <si>
    <t>Įsidiegusių sveikatos priežiūros įstaigų kokybės gerinimo priemonių, skaičius</t>
  </si>
  <si>
    <t>Rekonstruotų ar suremontuotų pastatų/ patalpų sveikatos priežiūros įstaigų plotas (m2)</t>
  </si>
  <si>
    <t>580,00</t>
  </si>
  <si>
    <t>93,16</t>
  </si>
  <si>
    <t>Mokymuose dalyvavusių gydytojų ir slaugytojų skaičius</t>
  </si>
  <si>
    <t>197,00</t>
  </si>
  <si>
    <t>Parengtų ir pritrauktų finansuojamų specialistų skaičius</t>
  </si>
  <si>
    <t>13.05.01.01.01</t>
  </si>
  <si>
    <t>Veikla: Užtikrinti prieinamumą sveikatos priežiūros paslaugų</t>
  </si>
  <si>
    <t>1</t>
  </si>
  <si>
    <t>savivaldybės biudžetas</t>
  </si>
  <si>
    <t>1.1.</t>
  </si>
  <si>
    <t>savivaldybės biudžeto lėšos</t>
  </si>
  <si>
    <t>1.2.</t>
  </si>
  <si>
    <t>biudžetinių įstaigų pajamos</t>
  </si>
  <si>
    <t>1.3.</t>
  </si>
  <si>
    <t>valstybės tikslinė dotacija</t>
  </si>
  <si>
    <t>1.5.</t>
  </si>
  <si>
    <t>savivaldybės banko paskola</t>
  </si>
  <si>
    <t>1.7.</t>
  </si>
  <si>
    <t>į rajono savivaldybės biudžetą įeinančios ES paramos lėšos.</t>
  </si>
  <si>
    <t>1.8.</t>
  </si>
  <si>
    <t>į rajono savivaldybės biudžetą įeinančios nacionalinio biudžeto (bendrojo finansavimo, valstybės investicijų programos (VIP) ir  kt.) lėšos.</t>
  </si>
  <si>
    <t>2.</t>
  </si>
  <si>
    <t>ES ir kitos tarptautinės finansinės paramos lėšos</t>
  </si>
  <si>
    <t>3</t>
  </si>
  <si>
    <t>Nacionalinio biudžeto (bendrojo finansavimo, valstybės investicijų programos (VIP) ir  kt.) lėšos;</t>
  </si>
  <si>
    <t>4</t>
  </si>
  <si>
    <t>Kiti šaltiniai</t>
  </si>
  <si>
    <t>4.3</t>
  </si>
  <si>
    <t>Nuosavos  lėšos</t>
  </si>
  <si>
    <t>4.4</t>
  </si>
  <si>
    <t>Partnerių lėšos</t>
  </si>
  <si>
    <t>IŠ VISO:</t>
  </si>
  <si>
    <t>Uždavinys: Skatinti efektyvesnį melioracijos statinių naudojimą ir priežiūrą</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</si>
</sst>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10427]#,##0.00;\-#,##0.00;&quot;&quot;"/>
  </numFmts>
  <fonts count="3" x14ac:knownFonts="1">
    <font>
      <sz val="11"/>
      <color rgb="FF000000"/>
      <name val="Calibri"/>
      <family val="2"/>
    </font>
    <font>
      <b/>
      <sz val="16"/>
      <color rgb="FF000000"/>
      <name val="Times New Roman"/>
      <family val="1"/>
      <charset val="186"/>
    </font>
    <font>
      <sz val="16"/>
      <color rgb="FF000000"/>
      <name val="Times New Roman"/>
      <family val="1"/>
      <charset val="186"/>
    </font>
  </fonts>
  <fills count="7">
    <fill>
      <patternFill patternType="none"/>
    </fill>
    <fill>
      <patternFill patternType="gray125"/>
    </fill>
    <fill>
      <patternFill patternType="none">
        <fgColor rgb="FF000000"/>
        <bgColor rgb="FF000000"/>
      </patternFill>
    </fill>
    <fill>
      <patternFill patternType="solid">
        <fgColor rgb="FFF8D0D0"/>
        <bgColor rgb="FFF8D0D0"/>
      </patternFill>
    </fill>
    <fill>
      <patternFill patternType="solid">
        <fgColor rgb="FFF9F6C1"/>
        <bgColor rgb="FFF9F6C1"/>
      </patternFill>
    </fill>
    <fill>
      <patternFill patternType="solid">
        <fgColor rgb="FFD2F3C3"/>
        <bgColor rgb="FFD2F3C3"/>
      </patternFill>
    </fill>
    <fill>
      <patternFill patternType="solid">
        <fgColor rgb="FFEBEBEB"/>
        <bgColor rgb="FFEBEBEB"/>
      </patternFill>
    </fill>
  </fills>
  <borders count="13">
    <border>
      <left/>
      <right/>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s>
  <cellStyleXfs count="1">
    <xf numFmtId="0" fontId="0" fillId="0" borderId="0" applyBorder="0"/>
  </cellStyleXfs>
  <cellXfs count="66">
    <xf numFmtId="0" fontId="0" fillId="0" borderId="0" xfId="0" applyNumberFormat="1" applyFill="1" applyAlignment="1" applyProtection="1"/>
    <xf numFmtId="0" fontId="1" fillId="2" borderId="0" xfId="0" applyNumberFormat="1" applyFont="1" applyFill="1" applyAlignment="1" applyProtection="1">
      <alignment horizontal="center" vertical="center" wrapText="1" shrinkToFit="1"/>
    </xf>
    <xf numFmtId="0" fontId="2" fillId="0" borderId="0" xfId="0" applyNumberFormat="1" applyFont="1" applyFill="1" applyAlignment="1" applyProtection="1">
      <alignment vertical="center" wrapText="1" shrinkToFit="1"/>
    </xf>
    <xf numFmtId="0" fontId="1" fillId="3" borderId="1" xfId="0" applyNumberFormat="1" applyFont="1" applyFill="1" applyBorder="1" applyAlignment="1" applyProtection="1">
      <alignment vertical="center" wrapText="1" shrinkToFit="1"/>
      <protection locked="0"/>
    </xf>
    <xf numFmtId="0" fontId="1" fillId="3" borderId="2" xfId="0" applyNumberFormat="1" applyFont="1" applyFill="1" applyBorder="1" applyAlignment="1" applyProtection="1">
      <alignment vertical="center" wrapText="1" shrinkToFit="1"/>
      <protection locked="0"/>
    </xf>
    <xf numFmtId="0" fontId="1" fillId="3" borderId="2" xfId="0" applyNumberFormat="1" applyFont="1" applyFill="1" applyBorder="1" applyAlignment="1" applyProtection="1">
      <alignment horizontal="left" vertical="center" wrapText="1" shrinkToFit="1"/>
      <protection locked="0"/>
    </xf>
    <xf numFmtId="164" fontId="1" fillId="3" borderId="2" xfId="0" applyNumberFormat="1" applyFont="1" applyFill="1" applyBorder="1" applyAlignment="1" applyProtection="1">
      <alignment horizontal="right" vertical="center" wrapText="1" shrinkToFit="1"/>
    </xf>
    <xf numFmtId="0" fontId="1" fillId="3" borderId="2" xfId="0" applyNumberFormat="1" applyFont="1" applyFill="1" applyBorder="1" applyAlignment="1" applyProtection="1">
      <alignment horizontal="center" vertical="center" wrapText="1" shrinkToFit="1"/>
      <protection locked="0"/>
    </xf>
    <xf numFmtId="0" fontId="1" fillId="3" borderId="3" xfId="0" applyNumberFormat="1" applyFont="1" applyFill="1" applyBorder="1" applyAlignment="1" applyProtection="1">
      <alignment horizontal="left" vertical="center" wrapText="1" shrinkToFit="1"/>
      <protection locked="0"/>
    </xf>
    <xf numFmtId="0" fontId="1" fillId="4" borderId="1" xfId="0" applyNumberFormat="1" applyFont="1" applyFill="1" applyBorder="1" applyAlignment="1" applyProtection="1">
      <alignment vertical="center" wrapText="1" shrinkToFit="1"/>
      <protection locked="0"/>
    </xf>
    <xf numFmtId="0" fontId="1" fillId="4" borderId="2" xfId="0" applyNumberFormat="1" applyFont="1" applyFill="1" applyBorder="1" applyAlignment="1" applyProtection="1">
      <alignment vertical="center" wrapText="1" shrinkToFit="1"/>
      <protection locked="0"/>
    </xf>
    <xf numFmtId="0" fontId="1" fillId="4" borderId="2" xfId="0" applyNumberFormat="1" applyFont="1" applyFill="1" applyBorder="1" applyAlignment="1" applyProtection="1">
      <alignment horizontal="left" vertical="center" wrapText="1" shrinkToFit="1"/>
      <protection locked="0"/>
    </xf>
    <xf numFmtId="164" fontId="1" fillId="4" borderId="2" xfId="0" applyNumberFormat="1" applyFont="1" applyFill="1" applyBorder="1" applyAlignment="1" applyProtection="1">
      <alignment horizontal="right" vertical="center" wrapText="1" shrinkToFit="1"/>
    </xf>
    <xf numFmtId="0" fontId="1" fillId="4" borderId="2" xfId="0" applyNumberFormat="1" applyFont="1" applyFill="1" applyBorder="1" applyAlignment="1" applyProtection="1">
      <alignment horizontal="center" vertical="center" wrapText="1" shrinkToFit="1"/>
      <protection locked="0"/>
    </xf>
    <xf numFmtId="0" fontId="1" fillId="4" borderId="3" xfId="0" applyNumberFormat="1" applyFont="1" applyFill="1" applyBorder="1" applyAlignment="1" applyProtection="1">
      <alignment horizontal="left" vertical="center" wrapText="1" shrinkToFit="1"/>
      <protection locked="0"/>
    </xf>
    <xf numFmtId="0" fontId="1" fillId="5" borderId="1" xfId="0" applyNumberFormat="1" applyFont="1" applyFill="1" applyBorder="1" applyAlignment="1" applyProtection="1">
      <alignment vertical="center" wrapText="1" shrinkToFit="1"/>
      <protection locked="0"/>
    </xf>
    <xf numFmtId="0" fontId="1" fillId="5" borderId="2" xfId="0" applyNumberFormat="1" applyFont="1" applyFill="1" applyBorder="1" applyAlignment="1" applyProtection="1">
      <alignment vertical="center" wrapText="1" shrinkToFit="1"/>
      <protection locked="0"/>
    </xf>
    <xf numFmtId="0" fontId="1" fillId="5" borderId="2" xfId="0" applyNumberFormat="1" applyFont="1" applyFill="1" applyBorder="1" applyAlignment="1" applyProtection="1">
      <alignment horizontal="left" vertical="center" wrapText="1" shrinkToFit="1"/>
      <protection locked="0"/>
    </xf>
    <xf numFmtId="164" fontId="1" fillId="5" borderId="2" xfId="0" applyNumberFormat="1" applyFont="1" applyFill="1" applyBorder="1" applyAlignment="1" applyProtection="1">
      <alignment horizontal="right" vertical="center" wrapText="1" shrinkToFit="1"/>
    </xf>
    <xf numFmtId="0" fontId="1" fillId="5" borderId="2" xfId="0" applyNumberFormat="1" applyFont="1" applyFill="1" applyBorder="1" applyAlignment="1" applyProtection="1">
      <alignment horizontal="center" vertical="center" wrapText="1" shrinkToFit="1"/>
      <protection locked="0"/>
    </xf>
    <xf numFmtId="0" fontId="1" fillId="5" borderId="3" xfId="0" applyNumberFormat="1" applyFont="1" applyFill="1" applyBorder="1" applyAlignment="1" applyProtection="1">
      <alignment horizontal="left" vertical="center" wrapText="1" shrinkToFit="1"/>
      <protection locked="0"/>
    </xf>
    <xf numFmtId="0" fontId="2" fillId="0" borderId="1" xfId="0" applyNumberFormat="1" applyFont="1" applyFill="1" applyBorder="1" applyAlignment="1" applyProtection="1">
      <alignment vertical="center" wrapText="1" shrinkToFit="1"/>
      <protection locked="0"/>
    </xf>
    <xf numFmtId="0" fontId="2" fillId="0" borderId="2" xfId="0" applyNumberFormat="1" applyFont="1" applyFill="1" applyBorder="1" applyAlignment="1" applyProtection="1">
      <alignment vertical="center" wrapText="1" shrinkToFit="1"/>
      <protection locked="0"/>
    </xf>
    <xf numFmtId="0" fontId="2" fillId="0" borderId="2" xfId="0" applyNumberFormat="1" applyFont="1" applyFill="1" applyBorder="1" applyAlignment="1" applyProtection="1">
      <alignment horizontal="left" vertical="center" wrapText="1" shrinkToFit="1"/>
      <protection locked="0"/>
    </xf>
    <xf numFmtId="164" fontId="2" fillId="0" borderId="2" xfId="0" applyNumberFormat="1" applyFont="1" applyFill="1" applyBorder="1" applyAlignment="1" applyProtection="1">
      <alignment horizontal="right" vertical="center" wrapText="1" shrinkToFit="1"/>
    </xf>
    <xf numFmtId="0" fontId="2" fillId="0" borderId="2" xfId="0" applyNumberFormat="1" applyFont="1" applyFill="1" applyBorder="1" applyAlignment="1" applyProtection="1">
      <alignment horizontal="center" vertical="center" wrapText="1" shrinkToFit="1"/>
      <protection locked="0"/>
    </xf>
    <xf numFmtId="0" fontId="2" fillId="0" borderId="3" xfId="0" applyNumberFormat="1" applyFont="1" applyFill="1" applyBorder="1" applyAlignment="1" applyProtection="1">
      <alignment horizontal="left" vertical="center" wrapText="1" shrinkToFit="1"/>
      <protection locked="0"/>
    </xf>
    <xf numFmtId="164" fontId="2" fillId="0" borderId="2" xfId="0" applyNumberFormat="1" applyFont="1" applyFill="1" applyBorder="1" applyAlignment="1" applyProtection="1">
      <alignment horizontal="right" vertical="center" wrapText="1" shrinkToFit="1"/>
      <protection locked="0"/>
    </xf>
    <xf numFmtId="0" fontId="2" fillId="0" borderId="4" xfId="0" applyNumberFormat="1" applyFont="1" applyFill="1" applyBorder="1" applyAlignment="1" applyProtection="1">
      <alignment vertical="center" wrapText="1" shrinkToFit="1"/>
      <protection locked="0"/>
    </xf>
    <xf numFmtId="0" fontId="2" fillId="0" borderId="5" xfId="0" applyNumberFormat="1" applyFont="1" applyFill="1" applyBorder="1" applyAlignment="1" applyProtection="1">
      <alignment vertical="center" wrapText="1" shrinkToFit="1"/>
      <protection locked="0"/>
    </xf>
    <xf numFmtId="0" fontId="2" fillId="0" borderId="5" xfId="0" applyNumberFormat="1" applyFont="1" applyFill="1" applyBorder="1" applyAlignment="1" applyProtection="1">
      <alignment horizontal="left" vertical="center" wrapText="1" shrinkToFit="1"/>
      <protection locked="0"/>
    </xf>
    <xf numFmtId="164" fontId="2" fillId="0" borderId="5" xfId="0" applyNumberFormat="1" applyFont="1" applyFill="1" applyBorder="1" applyAlignment="1" applyProtection="1">
      <alignment horizontal="right" vertical="center" wrapText="1" shrinkToFit="1"/>
      <protection locked="0"/>
    </xf>
    <xf numFmtId="0" fontId="2" fillId="0" borderId="5" xfId="0" applyNumberFormat="1" applyFont="1" applyFill="1" applyBorder="1" applyAlignment="1" applyProtection="1">
      <alignment horizontal="center" vertical="center" wrapText="1" shrinkToFit="1"/>
      <protection locked="0"/>
    </xf>
    <xf numFmtId="0" fontId="2" fillId="0" borderId="6" xfId="0" applyNumberFormat="1" applyFont="1" applyFill="1" applyBorder="1" applyAlignment="1" applyProtection="1">
      <alignment horizontal="left" vertical="center" wrapText="1" shrinkToFit="1"/>
      <protection locked="0"/>
    </xf>
    <xf numFmtId="0" fontId="2" fillId="0" borderId="10" xfId="0" applyNumberFormat="1" applyFont="1" applyFill="1" applyBorder="1" applyAlignment="1" applyProtection="1">
      <alignment vertical="center" wrapText="1" shrinkToFit="1"/>
      <protection locked="0"/>
    </xf>
    <xf numFmtId="0" fontId="2" fillId="0" borderId="11" xfId="0" applyNumberFormat="1" applyFont="1" applyFill="1" applyBorder="1" applyAlignment="1" applyProtection="1">
      <alignment vertical="center" wrapText="1" shrinkToFit="1"/>
      <protection locked="0"/>
    </xf>
    <xf numFmtId="0" fontId="2" fillId="0" borderId="11" xfId="0" applyNumberFormat="1" applyFont="1" applyFill="1" applyBorder="1" applyAlignment="1" applyProtection="1">
      <alignment horizontal="left" vertical="center" wrapText="1" shrinkToFit="1"/>
      <protection locked="0"/>
    </xf>
    <xf numFmtId="164" fontId="2" fillId="0" borderId="11" xfId="0" applyNumberFormat="1" applyFont="1" applyFill="1" applyBorder="1" applyAlignment="1" applyProtection="1">
      <alignment horizontal="right" vertical="center" wrapText="1" shrinkToFit="1"/>
      <protection locked="0"/>
    </xf>
    <xf numFmtId="0" fontId="2" fillId="0" borderId="11" xfId="0" applyNumberFormat="1" applyFont="1" applyFill="1" applyBorder="1" applyAlignment="1" applyProtection="1">
      <alignment horizontal="center" vertical="center" wrapText="1" shrinkToFit="1"/>
      <protection locked="0"/>
    </xf>
    <xf numFmtId="0" fontId="2" fillId="0" borderId="12" xfId="0" applyNumberFormat="1" applyFont="1" applyFill="1" applyBorder="1" applyAlignment="1" applyProtection="1">
      <alignment horizontal="left" vertical="center" wrapText="1" shrinkToFit="1"/>
      <protection locked="0"/>
    </xf>
    <xf numFmtId="0" fontId="2" fillId="2" borderId="0" xfId="0" applyNumberFormat="1" applyFont="1" applyFill="1" applyAlignment="1" applyProtection="1">
      <alignment vertical="center" wrapText="1" shrinkToFit="1"/>
      <protection locked="0"/>
    </xf>
    <xf numFmtId="0" fontId="2" fillId="2" borderId="0" xfId="0" applyNumberFormat="1" applyFont="1" applyFill="1" applyAlignment="1" applyProtection="1">
      <alignment horizontal="left" vertical="center" wrapText="1" shrinkToFit="1"/>
      <protection locked="0"/>
    </xf>
    <xf numFmtId="164" fontId="2" fillId="2" borderId="0" xfId="0" applyNumberFormat="1" applyFont="1" applyFill="1" applyAlignment="1" applyProtection="1">
      <alignment horizontal="right" vertical="center" wrapText="1" shrinkToFit="1"/>
      <protection locked="0"/>
    </xf>
    <xf numFmtId="0" fontId="2" fillId="2" borderId="0" xfId="0" applyNumberFormat="1" applyFont="1" applyFill="1" applyAlignment="1" applyProtection="1">
      <alignment horizontal="center" vertical="center" wrapText="1" shrinkToFit="1"/>
      <protection locked="0"/>
    </xf>
    <xf numFmtId="0" fontId="2" fillId="2" borderId="0" xfId="0" applyNumberFormat="1" applyFont="1" applyFill="1" applyAlignment="1" applyProtection="1">
      <alignment vertical="center" wrapText="1" shrinkToFit="1"/>
    </xf>
    <xf numFmtId="0" fontId="1" fillId="0" borderId="5" xfId="0" applyNumberFormat="1" applyFont="1" applyFill="1" applyBorder="1" applyAlignment="1" applyProtection="1">
      <alignment horizontal="center" vertical="center" wrapText="1" shrinkToFit="1"/>
    </xf>
    <xf numFmtId="164" fontId="2" fillId="0" borderId="5" xfId="0" applyNumberFormat="1" applyFont="1" applyFill="1" applyBorder="1" applyAlignment="1" applyProtection="1">
      <alignment horizontal="right" vertical="center" wrapText="1" shrinkToFit="1"/>
    </xf>
    <xf numFmtId="0" fontId="1" fillId="6" borderId="5" xfId="0" applyNumberFormat="1" applyFont="1" applyFill="1" applyBorder="1" applyAlignment="1" applyProtection="1">
      <alignment vertical="center" wrapText="1" shrinkToFit="1"/>
      <protection locked="0"/>
    </xf>
    <xf numFmtId="0" fontId="1" fillId="6" borderId="5" xfId="0" applyNumberFormat="1" applyFont="1" applyFill="1" applyBorder="1" applyAlignment="1" applyProtection="1">
      <alignment horizontal="right" vertical="center" wrapText="1" shrinkToFit="1"/>
      <protection locked="0"/>
    </xf>
    <xf numFmtId="164" fontId="1" fillId="6" borderId="5" xfId="0" applyNumberFormat="1" applyFont="1" applyFill="1" applyBorder="1" applyAlignment="1" applyProtection="1">
      <alignment horizontal="right" vertical="center" wrapText="1" shrinkToFit="1"/>
    </xf>
    <xf numFmtId="0" fontId="1" fillId="0" borderId="8" xfId="0" applyNumberFormat="1" applyFont="1" applyFill="1" applyBorder="1" applyAlignment="1" applyProtection="1">
      <alignment horizontal="center" vertical="center" wrapText="1" shrinkToFit="1"/>
    </xf>
    <xf numFmtId="0" fontId="2" fillId="0" borderId="0" xfId="0" applyNumberFormat="1" applyFont="1" applyFill="1" applyAlignment="1" applyProtection="1">
      <alignment horizontal="center" vertical="center" wrapText="1" shrinkToFit="1"/>
    </xf>
    <xf numFmtId="0" fontId="1" fillId="2" borderId="0" xfId="0" applyNumberFormat="1" applyFont="1" applyFill="1" applyAlignment="1" applyProtection="1">
      <alignment horizontal="center" vertical="center" wrapText="1" shrinkToFit="1"/>
    </xf>
    <xf numFmtId="0" fontId="1" fillId="0" borderId="1" xfId="0" applyNumberFormat="1" applyFont="1" applyFill="1" applyBorder="1" applyAlignment="1" applyProtection="1">
      <alignment horizontal="center" vertical="center" wrapText="1" shrinkToFit="1"/>
    </xf>
    <xf numFmtId="0" fontId="1" fillId="0" borderId="4" xfId="0" applyNumberFormat="1" applyFont="1" applyFill="1" applyBorder="1" applyAlignment="1" applyProtection="1">
      <alignment horizontal="center" vertical="center" wrapText="1" shrinkToFit="1"/>
    </xf>
    <xf numFmtId="0" fontId="1" fillId="0" borderId="7" xfId="0" applyNumberFormat="1" applyFont="1" applyFill="1" applyBorder="1" applyAlignment="1" applyProtection="1">
      <alignment horizontal="center" vertical="center" wrapText="1" shrinkToFit="1"/>
    </xf>
    <xf numFmtId="0" fontId="1" fillId="0" borderId="2" xfId="0" applyNumberFormat="1" applyFont="1" applyFill="1" applyBorder="1" applyAlignment="1" applyProtection="1">
      <alignment horizontal="center" vertical="center" wrapText="1" shrinkToFit="1"/>
    </xf>
    <xf numFmtId="0" fontId="1" fillId="0" borderId="5" xfId="0" applyNumberFormat="1" applyFont="1" applyFill="1" applyBorder="1" applyAlignment="1" applyProtection="1">
      <alignment horizontal="center" vertical="center" wrapText="1" shrinkToFit="1"/>
    </xf>
    <xf numFmtId="0" fontId="1" fillId="0" borderId="8" xfId="0" applyNumberFormat="1" applyFont="1" applyFill="1" applyBorder="1" applyAlignment="1" applyProtection="1">
      <alignment horizontal="center" vertical="center" wrapText="1" shrinkToFit="1"/>
    </xf>
    <xf numFmtId="0" fontId="1" fillId="0" borderId="6" xfId="0" applyNumberFormat="1" applyFont="1" applyFill="1" applyBorder="1" applyAlignment="1" applyProtection="1">
      <alignment horizontal="center" vertical="center" wrapText="1" shrinkToFit="1"/>
    </xf>
    <xf numFmtId="0" fontId="1" fillId="0" borderId="9" xfId="0" applyNumberFormat="1" applyFont="1" applyFill="1" applyBorder="1" applyAlignment="1" applyProtection="1">
      <alignment horizontal="center" vertical="center" wrapText="1" shrinkToFit="1"/>
    </xf>
    <xf numFmtId="0" fontId="1" fillId="0" borderId="3" xfId="0" applyNumberFormat="1" applyFont="1" applyFill="1" applyBorder="1" applyAlignment="1" applyProtection="1">
      <alignment horizontal="center" vertical="center" wrapText="1" shrinkToFit="1"/>
    </xf>
    <xf numFmtId="0" fontId="2" fillId="0" borderId="0" xfId="0" applyNumberFormat="1" applyFont="1" applyFill="1" applyBorder="1" applyAlignment="1" applyProtection="1">
      <alignment vertical="center" wrapText="1" shrinkToFit="1"/>
      <protection locked="0"/>
    </xf>
    <xf numFmtId="0" fontId="2" fillId="0" borderId="0" xfId="0" applyNumberFormat="1" applyFont="1" applyFill="1" applyBorder="1" applyAlignment="1" applyProtection="1">
      <alignment horizontal="left" vertical="center" wrapText="1" shrinkToFit="1"/>
      <protection locked="0"/>
    </xf>
    <xf numFmtId="164" fontId="2" fillId="0" borderId="0" xfId="0" applyNumberFormat="1" applyFont="1" applyFill="1" applyBorder="1" applyAlignment="1" applyProtection="1">
      <alignment horizontal="right" vertical="center" wrapText="1" shrinkToFit="1"/>
      <protection locked="0"/>
    </xf>
    <xf numFmtId="0" fontId="2" fillId="0" borderId="0" xfId="0" applyNumberFormat="1" applyFont="1" applyFill="1" applyBorder="1" applyAlignment="1" applyProtection="1">
      <alignment horizontal="center" vertical="center" wrapText="1" shrinkToFit="1"/>
      <protection locked="0"/>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AC635"/>
  <sheetViews>
    <sheetView tabSelected="1" zoomScale="40" zoomScaleNormal="40" workbookViewId="0">
      <pane ySplit="6" topLeftCell="A7" activePane="bottomLeft" state="frozen"/>
      <selection pane="bottomLeft" activeCell="O652" sqref="O652"/>
    </sheetView>
  </sheetViews>
  <sheetFormatPr defaultRowHeight="20.25" x14ac:dyDescent="0.25"/>
  <cols>
    <col min="1" max="1" width="27.140625" style="2" customWidth="1"/>
    <col min="2" max="2" width="71.140625" style="2" customWidth="1"/>
    <col min="3" max="3" width="32.42578125" style="2" customWidth="1"/>
    <col min="4" max="4" width="33.85546875" style="2" customWidth="1"/>
    <col min="5" max="5" width="23.42578125" style="2" customWidth="1"/>
    <col min="6" max="6" width="21.85546875" style="2" customWidth="1"/>
    <col min="7" max="7" width="20" style="2" customWidth="1"/>
    <col min="8" max="8" width="19.7109375" style="2" customWidth="1"/>
    <col min="9" max="9" width="20.42578125" style="2" customWidth="1"/>
    <col min="10" max="10" width="20.28515625" style="2" customWidth="1"/>
    <col min="11" max="11" width="21.140625" style="2" customWidth="1"/>
    <col min="12" max="12" width="18.85546875" style="2" customWidth="1"/>
    <col min="13" max="13" width="23.85546875" style="2" customWidth="1"/>
    <col min="14" max="14" width="20.5703125" style="2" customWidth="1"/>
    <col min="15" max="15" width="23.5703125" style="2" customWidth="1"/>
    <col min="16" max="16" width="21.28515625" style="2" customWidth="1"/>
    <col min="17" max="17" width="21" style="2" customWidth="1"/>
    <col min="18" max="18" width="19" style="2" customWidth="1"/>
    <col min="19" max="19" width="21" style="2" customWidth="1"/>
    <col min="20" max="20" width="20.85546875" style="2" customWidth="1"/>
    <col min="21" max="21" width="20.42578125" style="2" customWidth="1"/>
    <col min="22" max="22" width="20" style="2" customWidth="1"/>
    <col min="23" max="23" width="11.42578125" style="2" customWidth="1"/>
    <col min="24" max="24" width="17.5703125" style="2" customWidth="1"/>
    <col min="25" max="25" width="68" style="2" customWidth="1"/>
    <col min="26" max="26" width="11.7109375" style="2" customWidth="1"/>
    <col min="27" max="28" width="15.7109375" style="51" customWidth="1"/>
    <col min="29" max="29" width="65.85546875" style="2" customWidth="1"/>
    <col min="30" max="16384" width="9.140625" style="2"/>
  </cols>
  <sheetData>
    <row r="2" spans="1:29" s="1" customFormat="1" ht="35.25" customHeight="1" x14ac:dyDescent="0.25">
      <c r="A2" s="52" t="s">
        <v>1</v>
      </c>
      <c r="B2" s="52"/>
      <c r="C2" s="52"/>
      <c r="D2" s="52"/>
      <c r="E2" s="52"/>
      <c r="F2" s="52"/>
      <c r="G2" s="52"/>
      <c r="H2" s="52"/>
      <c r="I2" s="52"/>
      <c r="J2" s="52"/>
      <c r="K2" s="52"/>
      <c r="L2" s="52"/>
      <c r="M2" s="52"/>
      <c r="N2" s="52"/>
      <c r="O2" s="52"/>
      <c r="P2" s="52"/>
      <c r="Q2" s="52"/>
      <c r="R2" s="52"/>
      <c r="S2" s="52"/>
      <c r="T2" s="52"/>
      <c r="U2" s="52"/>
      <c r="V2" s="52"/>
      <c r="W2" s="52"/>
      <c r="X2" s="52"/>
      <c r="Y2" s="52"/>
      <c r="Z2" s="52"/>
      <c r="AA2" s="52"/>
      <c r="AB2" s="52"/>
      <c r="AC2" s="52"/>
    </row>
    <row r="4" spans="1:29" x14ac:dyDescent="0.25">
      <c r="A4" s="53" t="s">
        <v>0</v>
      </c>
      <c r="B4" s="56" t="s">
        <v>1</v>
      </c>
      <c r="C4" s="56" t="s">
        <v>2</v>
      </c>
      <c r="D4" s="56" t="s">
        <v>3</v>
      </c>
      <c r="E4" s="56" t="s">
        <v>4</v>
      </c>
      <c r="F4" s="56" t="s">
        <v>5</v>
      </c>
      <c r="G4" s="56"/>
      <c r="H4" s="56"/>
      <c r="I4" s="56"/>
      <c r="J4" s="56"/>
      <c r="K4" s="56"/>
      <c r="L4" s="56"/>
      <c r="M4" s="56"/>
      <c r="N4" s="56"/>
      <c r="O4" s="56" t="s">
        <v>6</v>
      </c>
      <c r="P4" s="56" t="s">
        <v>5</v>
      </c>
      <c r="Q4" s="56"/>
      <c r="R4" s="56"/>
      <c r="S4" s="56"/>
      <c r="T4" s="56"/>
      <c r="U4" s="56"/>
      <c r="V4" s="56"/>
      <c r="W4" s="56"/>
      <c r="X4" s="56"/>
      <c r="Y4" s="56" t="s">
        <v>7</v>
      </c>
      <c r="Z4" s="56"/>
      <c r="AA4" s="56"/>
      <c r="AB4" s="56"/>
      <c r="AC4" s="61"/>
    </row>
    <row r="5" spans="1:29" x14ac:dyDescent="0.25">
      <c r="A5" s="54"/>
      <c r="B5" s="57"/>
      <c r="C5" s="57"/>
      <c r="D5" s="57"/>
      <c r="E5" s="57"/>
      <c r="F5" s="57" t="s">
        <v>8</v>
      </c>
      <c r="G5" s="57" t="s">
        <v>9</v>
      </c>
      <c r="H5" s="57" t="s">
        <v>10</v>
      </c>
      <c r="I5" s="57" t="s">
        <v>11</v>
      </c>
      <c r="J5" s="57" t="s">
        <v>12</v>
      </c>
      <c r="K5" s="57" t="s">
        <v>13</v>
      </c>
      <c r="L5" s="57" t="s">
        <v>14</v>
      </c>
      <c r="M5" s="57" t="s">
        <v>15</v>
      </c>
      <c r="N5" s="57" t="s">
        <v>16</v>
      </c>
      <c r="O5" s="57"/>
      <c r="P5" s="57" t="s">
        <v>8</v>
      </c>
      <c r="Q5" s="57" t="s">
        <v>9</v>
      </c>
      <c r="R5" s="57" t="s">
        <v>10</v>
      </c>
      <c r="S5" s="57" t="s">
        <v>11</v>
      </c>
      <c r="T5" s="57" t="s">
        <v>12</v>
      </c>
      <c r="U5" s="57" t="s">
        <v>13</v>
      </c>
      <c r="V5" s="57" t="s">
        <v>14</v>
      </c>
      <c r="W5" s="57" t="s">
        <v>15</v>
      </c>
      <c r="X5" s="57" t="s">
        <v>16</v>
      </c>
      <c r="Y5" s="57" t="s">
        <v>17</v>
      </c>
      <c r="Z5" s="57" t="s">
        <v>18</v>
      </c>
      <c r="AA5" s="57" t="s">
        <v>19</v>
      </c>
      <c r="AB5" s="57"/>
      <c r="AC5" s="59" t="s">
        <v>20</v>
      </c>
    </row>
    <row r="6" spans="1:29" ht="42.75" customHeight="1" x14ac:dyDescent="0.25">
      <c r="A6" s="55"/>
      <c r="B6" s="58"/>
      <c r="C6" s="58"/>
      <c r="D6" s="58"/>
      <c r="E6" s="58"/>
      <c r="F6" s="58"/>
      <c r="G6" s="58"/>
      <c r="H6" s="58"/>
      <c r="I6" s="58"/>
      <c r="J6" s="58"/>
      <c r="K6" s="58"/>
      <c r="L6" s="58"/>
      <c r="M6" s="58"/>
      <c r="N6" s="58"/>
      <c r="O6" s="58"/>
      <c r="P6" s="58"/>
      <c r="Q6" s="58"/>
      <c r="R6" s="58"/>
      <c r="S6" s="58"/>
      <c r="T6" s="58"/>
      <c r="U6" s="58"/>
      <c r="V6" s="58"/>
      <c r="W6" s="58"/>
      <c r="X6" s="58"/>
      <c r="Y6" s="58"/>
      <c r="Z6" s="58"/>
      <c r="AA6" s="50" t="s">
        <v>21</v>
      </c>
      <c r="AB6" s="50" t="s">
        <v>22</v>
      </c>
      <c r="AC6" s="60"/>
    </row>
    <row r="7" spans="1:29" ht="51.75" customHeight="1" x14ac:dyDescent="0.25">
      <c r="A7" s="3" t="s">
        <v>23</v>
      </c>
      <c r="B7" s="4" t="s">
        <v>24</v>
      </c>
      <c r="C7" s="5" t="s">
        <v>25</v>
      </c>
      <c r="D7" s="5" t="s">
        <v>26</v>
      </c>
      <c r="E7" s="6">
        <f t="shared" ref="E7:X7" si="0">E8+E37+E41+E45+E51</f>
        <v>638969.34</v>
      </c>
      <c r="F7" s="6">
        <f t="shared" si="0"/>
        <v>315413.75</v>
      </c>
      <c r="G7" s="6">
        <f t="shared" si="0"/>
        <v>0</v>
      </c>
      <c r="H7" s="6">
        <f t="shared" si="0"/>
        <v>0</v>
      </c>
      <c r="I7" s="6">
        <f t="shared" si="0"/>
        <v>137934</v>
      </c>
      <c r="J7" s="6">
        <f t="shared" si="0"/>
        <v>0</v>
      </c>
      <c r="K7" s="6">
        <f t="shared" si="0"/>
        <v>112128.59</v>
      </c>
      <c r="L7" s="6">
        <f t="shared" si="0"/>
        <v>73493</v>
      </c>
      <c r="M7" s="6">
        <f t="shared" si="0"/>
        <v>0</v>
      </c>
      <c r="N7" s="6">
        <f t="shared" si="0"/>
        <v>0</v>
      </c>
      <c r="O7" s="6">
        <f t="shared" si="0"/>
        <v>582630.12000000011</v>
      </c>
      <c r="P7" s="6">
        <f t="shared" si="0"/>
        <v>294414.98999999993</v>
      </c>
      <c r="Q7" s="6">
        <f t="shared" si="0"/>
        <v>0</v>
      </c>
      <c r="R7" s="6">
        <f t="shared" si="0"/>
        <v>0</v>
      </c>
      <c r="S7" s="6">
        <f t="shared" si="0"/>
        <v>0</v>
      </c>
      <c r="T7" s="6">
        <f t="shared" si="0"/>
        <v>0</v>
      </c>
      <c r="U7" s="6">
        <f t="shared" si="0"/>
        <v>87421.71</v>
      </c>
      <c r="V7" s="6">
        <f t="shared" si="0"/>
        <v>200793.41999999998</v>
      </c>
      <c r="W7" s="6">
        <f t="shared" si="0"/>
        <v>0</v>
      </c>
      <c r="X7" s="6">
        <f t="shared" si="0"/>
        <v>0</v>
      </c>
      <c r="Y7" s="5"/>
      <c r="Z7" s="7"/>
      <c r="AA7" s="7"/>
      <c r="AB7" s="7"/>
      <c r="AC7" s="8"/>
    </row>
    <row r="8" spans="1:29" ht="37.5" customHeight="1" x14ac:dyDescent="0.25">
      <c r="A8" s="9" t="s">
        <v>27</v>
      </c>
      <c r="B8" s="10" t="s">
        <v>28</v>
      </c>
      <c r="C8" s="11"/>
      <c r="D8" s="11"/>
      <c r="E8" s="12">
        <f t="shared" ref="E8:X8" si="1">E9+E34</f>
        <v>574604.59</v>
      </c>
      <c r="F8" s="12">
        <f t="shared" si="1"/>
        <v>264542</v>
      </c>
      <c r="G8" s="12">
        <f t="shared" si="1"/>
        <v>0</v>
      </c>
      <c r="H8" s="12">
        <f t="shared" si="1"/>
        <v>0</v>
      </c>
      <c r="I8" s="12">
        <f t="shared" si="1"/>
        <v>137934</v>
      </c>
      <c r="J8" s="12">
        <f t="shared" si="1"/>
        <v>0</v>
      </c>
      <c r="K8" s="12">
        <f t="shared" si="1"/>
        <v>112128.59</v>
      </c>
      <c r="L8" s="12">
        <f t="shared" si="1"/>
        <v>60000</v>
      </c>
      <c r="M8" s="12">
        <f t="shared" si="1"/>
        <v>0</v>
      </c>
      <c r="N8" s="12">
        <f t="shared" si="1"/>
        <v>0</v>
      </c>
      <c r="O8" s="12">
        <f t="shared" si="1"/>
        <v>534289.45000000007</v>
      </c>
      <c r="P8" s="12">
        <f t="shared" si="1"/>
        <v>251567.31999999998</v>
      </c>
      <c r="Q8" s="12">
        <f t="shared" si="1"/>
        <v>0</v>
      </c>
      <c r="R8" s="12">
        <f t="shared" si="1"/>
        <v>0</v>
      </c>
      <c r="S8" s="12">
        <f t="shared" si="1"/>
        <v>0</v>
      </c>
      <c r="T8" s="12">
        <f t="shared" si="1"/>
        <v>0</v>
      </c>
      <c r="U8" s="12">
        <f t="shared" si="1"/>
        <v>87421.71</v>
      </c>
      <c r="V8" s="12">
        <f t="shared" si="1"/>
        <v>195300.41999999998</v>
      </c>
      <c r="W8" s="12">
        <f t="shared" si="1"/>
        <v>0</v>
      </c>
      <c r="X8" s="12">
        <f t="shared" si="1"/>
        <v>0</v>
      </c>
      <c r="Y8" s="11"/>
      <c r="Z8" s="13"/>
      <c r="AA8" s="13"/>
      <c r="AB8" s="13"/>
      <c r="AC8" s="14"/>
    </row>
    <row r="9" spans="1:29" ht="98.25" customHeight="1" x14ac:dyDescent="0.25">
      <c r="A9" s="15" t="s">
        <v>29</v>
      </c>
      <c r="B9" s="16" t="s">
        <v>30</v>
      </c>
      <c r="C9" s="17"/>
      <c r="D9" s="17"/>
      <c r="E9" s="18">
        <f t="shared" ref="E9:X9" si="2">E10+E12+E14+E17+E19+E21+E23+E28</f>
        <v>571604.59</v>
      </c>
      <c r="F9" s="18">
        <f t="shared" si="2"/>
        <v>264542</v>
      </c>
      <c r="G9" s="18">
        <f t="shared" si="2"/>
        <v>0</v>
      </c>
      <c r="H9" s="18">
        <f t="shared" si="2"/>
        <v>0</v>
      </c>
      <c r="I9" s="18">
        <f t="shared" si="2"/>
        <v>137934</v>
      </c>
      <c r="J9" s="18">
        <f t="shared" si="2"/>
        <v>0</v>
      </c>
      <c r="K9" s="18">
        <f t="shared" si="2"/>
        <v>112128.59</v>
      </c>
      <c r="L9" s="18">
        <f t="shared" si="2"/>
        <v>57000</v>
      </c>
      <c r="M9" s="18">
        <f t="shared" si="2"/>
        <v>0</v>
      </c>
      <c r="N9" s="18">
        <f t="shared" si="2"/>
        <v>0</v>
      </c>
      <c r="O9" s="18">
        <f t="shared" si="2"/>
        <v>531339.45000000007</v>
      </c>
      <c r="P9" s="18">
        <f t="shared" si="2"/>
        <v>251567.31999999998</v>
      </c>
      <c r="Q9" s="18">
        <f t="shared" si="2"/>
        <v>0</v>
      </c>
      <c r="R9" s="18">
        <f t="shared" si="2"/>
        <v>0</v>
      </c>
      <c r="S9" s="18">
        <f t="shared" si="2"/>
        <v>0</v>
      </c>
      <c r="T9" s="18">
        <f t="shared" si="2"/>
        <v>0</v>
      </c>
      <c r="U9" s="18">
        <f t="shared" si="2"/>
        <v>87421.71</v>
      </c>
      <c r="V9" s="18">
        <f t="shared" si="2"/>
        <v>192350.41999999998</v>
      </c>
      <c r="W9" s="18">
        <f t="shared" si="2"/>
        <v>0</v>
      </c>
      <c r="X9" s="18">
        <f t="shared" si="2"/>
        <v>0</v>
      </c>
      <c r="Y9" s="17"/>
      <c r="Z9" s="19"/>
      <c r="AA9" s="19"/>
      <c r="AB9" s="19"/>
      <c r="AC9" s="20"/>
    </row>
    <row r="10" spans="1:29" ht="55.5" customHeight="1" x14ac:dyDescent="0.25">
      <c r="A10" s="21" t="s">
        <v>31</v>
      </c>
      <c r="B10" s="22" t="s">
        <v>32</v>
      </c>
      <c r="C10" s="23" t="s">
        <v>25</v>
      </c>
      <c r="D10" s="23" t="s">
        <v>26</v>
      </c>
      <c r="E10" s="24">
        <f>SUM(E11:E11)+10000</f>
        <v>10000</v>
      </c>
      <c r="F10" s="24">
        <f t="shared" ref="F10:K10" si="3">SUM(F11:F11)</f>
        <v>0</v>
      </c>
      <c r="G10" s="24">
        <f t="shared" si="3"/>
        <v>0</v>
      </c>
      <c r="H10" s="24">
        <f t="shared" si="3"/>
        <v>0</v>
      </c>
      <c r="I10" s="24">
        <f t="shared" si="3"/>
        <v>0</v>
      </c>
      <c r="J10" s="24">
        <f t="shared" si="3"/>
        <v>0</v>
      </c>
      <c r="K10" s="24">
        <f t="shared" si="3"/>
        <v>0</v>
      </c>
      <c r="L10" s="24">
        <f>SUM(L11:L11)+10000</f>
        <v>10000</v>
      </c>
      <c r="M10" s="24">
        <f>SUM(M11:M11)</f>
        <v>0</v>
      </c>
      <c r="N10" s="24">
        <f>SUM(N11:N11)</f>
        <v>0</v>
      </c>
      <c r="O10" s="24">
        <f>SUM(O11:O11)+10000</f>
        <v>10000</v>
      </c>
      <c r="P10" s="24">
        <f t="shared" ref="P10:U10" si="4">SUM(P11:P11)</f>
        <v>0</v>
      </c>
      <c r="Q10" s="24">
        <f t="shared" si="4"/>
        <v>0</v>
      </c>
      <c r="R10" s="24">
        <f t="shared" si="4"/>
        <v>0</v>
      </c>
      <c r="S10" s="24">
        <f t="shared" si="4"/>
        <v>0</v>
      </c>
      <c r="T10" s="24">
        <f t="shared" si="4"/>
        <v>0</v>
      </c>
      <c r="U10" s="24">
        <f t="shared" si="4"/>
        <v>0</v>
      </c>
      <c r="V10" s="24">
        <f>SUM(V11:V11)+10000</f>
        <v>10000</v>
      </c>
      <c r="W10" s="24">
        <f>SUM(W11:W11)</f>
        <v>0</v>
      </c>
      <c r="X10" s="24">
        <f>SUM(X11:X11)</f>
        <v>0</v>
      </c>
      <c r="Y10" s="23" t="s">
        <v>33</v>
      </c>
      <c r="Z10" s="25" t="s">
        <v>34</v>
      </c>
      <c r="AA10" s="25" t="s">
        <v>35</v>
      </c>
      <c r="AB10" s="25" t="s">
        <v>36</v>
      </c>
      <c r="AC10" s="26"/>
    </row>
    <row r="11" spans="1:29" ht="75.75" customHeight="1" x14ac:dyDescent="0.25">
      <c r="A11" s="21" t="s">
        <v>37</v>
      </c>
      <c r="B11" s="22" t="s">
        <v>38</v>
      </c>
      <c r="C11" s="23"/>
      <c r="D11" s="23" t="s">
        <v>26</v>
      </c>
      <c r="E11" s="27">
        <v>0</v>
      </c>
      <c r="F11" s="27">
        <v>0</v>
      </c>
      <c r="G11" s="27">
        <v>0</v>
      </c>
      <c r="H11" s="27">
        <v>0</v>
      </c>
      <c r="I11" s="27">
        <v>0</v>
      </c>
      <c r="J11" s="27">
        <v>0</v>
      </c>
      <c r="K11" s="27">
        <v>0</v>
      </c>
      <c r="L11" s="27">
        <v>0</v>
      </c>
      <c r="M11" s="27">
        <v>0</v>
      </c>
      <c r="N11" s="27">
        <v>0</v>
      </c>
      <c r="O11" s="27">
        <v>0</v>
      </c>
      <c r="P11" s="27">
        <v>0</v>
      </c>
      <c r="Q11" s="27">
        <v>0</v>
      </c>
      <c r="R11" s="27">
        <v>0</v>
      </c>
      <c r="S11" s="27">
        <v>0</v>
      </c>
      <c r="T11" s="27">
        <v>0</v>
      </c>
      <c r="U11" s="27">
        <v>0</v>
      </c>
      <c r="V11" s="27">
        <v>0</v>
      </c>
      <c r="W11" s="27">
        <v>0</v>
      </c>
      <c r="X11" s="27">
        <v>0</v>
      </c>
      <c r="Y11" s="23"/>
      <c r="Z11" s="25"/>
      <c r="AA11" s="25"/>
      <c r="AB11" s="25"/>
      <c r="AC11" s="26"/>
    </row>
    <row r="12" spans="1:29" ht="54" customHeight="1" x14ac:dyDescent="0.25">
      <c r="A12" s="21" t="s">
        <v>39</v>
      </c>
      <c r="B12" s="22" t="s">
        <v>40</v>
      </c>
      <c r="C12" s="23" t="s">
        <v>25</v>
      </c>
      <c r="D12" s="23" t="s">
        <v>26</v>
      </c>
      <c r="E12" s="24">
        <f>SUM(E13:E13)+43000</f>
        <v>43000</v>
      </c>
      <c r="F12" s="24">
        <f t="shared" ref="F12:K12" si="5">SUM(F13:F13)</f>
        <v>0</v>
      </c>
      <c r="G12" s="24">
        <f t="shared" si="5"/>
        <v>0</v>
      </c>
      <c r="H12" s="24">
        <f t="shared" si="5"/>
        <v>0</v>
      </c>
      <c r="I12" s="24">
        <f t="shared" si="5"/>
        <v>0</v>
      </c>
      <c r="J12" s="24">
        <f t="shared" si="5"/>
        <v>0</v>
      </c>
      <c r="K12" s="24">
        <f t="shared" si="5"/>
        <v>0</v>
      </c>
      <c r="L12" s="24">
        <f>SUM(L13:L13)+43000</f>
        <v>43000</v>
      </c>
      <c r="M12" s="24">
        <f>SUM(M13:M13)</f>
        <v>0</v>
      </c>
      <c r="N12" s="24">
        <f>SUM(N13:N13)</f>
        <v>0</v>
      </c>
      <c r="O12" s="24">
        <f>SUM(O13:O13)+40416.42</f>
        <v>40416.42</v>
      </c>
      <c r="P12" s="24">
        <f t="shared" ref="P12:U12" si="6">SUM(P13:P13)</f>
        <v>0</v>
      </c>
      <c r="Q12" s="24">
        <f t="shared" si="6"/>
        <v>0</v>
      </c>
      <c r="R12" s="24">
        <f t="shared" si="6"/>
        <v>0</v>
      </c>
      <c r="S12" s="24">
        <f t="shared" si="6"/>
        <v>0</v>
      </c>
      <c r="T12" s="24">
        <f t="shared" si="6"/>
        <v>0</v>
      </c>
      <c r="U12" s="24">
        <f t="shared" si="6"/>
        <v>0</v>
      </c>
      <c r="V12" s="24">
        <f>SUM(V13:V13)+40416.42</f>
        <v>40416.42</v>
      </c>
      <c r="W12" s="24">
        <f>SUM(W13:W13)</f>
        <v>0</v>
      </c>
      <c r="X12" s="24">
        <f>SUM(X13:X13)</f>
        <v>0</v>
      </c>
      <c r="Y12" s="23" t="s">
        <v>41</v>
      </c>
      <c r="Z12" s="25" t="s">
        <v>34</v>
      </c>
      <c r="AA12" s="25" t="s">
        <v>42</v>
      </c>
      <c r="AB12" s="25" t="s">
        <v>42</v>
      </c>
      <c r="AC12" s="26"/>
    </row>
    <row r="13" spans="1:29" ht="50.25" customHeight="1" x14ac:dyDescent="0.25">
      <c r="A13" s="21" t="s">
        <v>43</v>
      </c>
      <c r="B13" s="22" t="s">
        <v>44</v>
      </c>
      <c r="C13" s="23"/>
      <c r="D13" s="23" t="s">
        <v>26</v>
      </c>
      <c r="E13" s="27">
        <v>0</v>
      </c>
      <c r="F13" s="27">
        <v>0</v>
      </c>
      <c r="G13" s="27">
        <v>0</v>
      </c>
      <c r="H13" s="27">
        <v>0</v>
      </c>
      <c r="I13" s="27">
        <v>0</v>
      </c>
      <c r="J13" s="27">
        <v>0</v>
      </c>
      <c r="K13" s="27">
        <v>0</v>
      </c>
      <c r="L13" s="27">
        <v>0</v>
      </c>
      <c r="M13" s="27">
        <v>0</v>
      </c>
      <c r="N13" s="27">
        <v>0</v>
      </c>
      <c r="O13" s="27">
        <v>0</v>
      </c>
      <c r="P13" s="27">
        <v>0</v>
      </c>
      <c r="Q13" s="27">
        <v>0</v>
      </c>
      <c r="R13" s="27">
        <v>0</v>
      </c>
      <c r="S13" s="27">
        <v>0</v>
      </c>
      <c r="T13" s="27">
        <v>0</v>
      </c>
      <c r="U13" s="27">
        <v>0</v>
      </c>
      <c r="V13" s="27">
        <v>0</v>
      </c>
      <c r="W13" s="27">
        <v>0</v>
      </c>
      <c r="X13" s="27">
        <v>0</v>
      </c>
      <c r="Y13" s="23"/>
      <c r="Z13" s="25"/>
      <c r="AA13" s="25"/>
      <c r="AB13" s="25"/>
      <c r="AC13" s="26"/>
    </row>
    <row r="14" spans="1:29" ht="70.5" customHeight="1" x14ac:dyDescent="0.25">
      <c r="A14" s="21" t="s">
        <v>45</v>
      </c>
      <c r="B14" s="22" t="s">
        <v>46</v>
      </c>
      <c r="C14" s="23"/>
      <c r="D14" s="23" t="s">
        <v>26</v>
      </c>
      <c r="E14" s="24">
        <f>SUM(E15:E16)+137934</f>
        <v>137934</v>
      </c>
      <c r="F14" s="24">
        <f>SUM(F15:F16)</f>
        <v>0</v>
      </c>
      <c r="G14" s="24">
        <f>SUM(G15:G16)</f>
        <v>0</v>
      </c>
      <c r="H14" s="24">
        <f>SUM(H15:H16)</f>
        <v>0</v>
      </c>
      <c r="I14" s="24">
        <f>SUM(I15:I16)+137934</f>
        <v>137934</v>
      </c>
      <c r="J14" s="24">
        <f>SUM(J15:J16)</f>
        <v>0</v>
      </c>
      <c r="K14" s="24">
        <f>SUM(K15:K16)</f>
        <v>0</v>
      </c>
      <c r="L14" s="24">
        <f>SUM(L15:L16)</f>
        <v>0</v>
      </c>
      <c r="M14" s="24">
        <f>SUM(M15:M16)</f>
        <v>0</v>
      </c>
      <c r="N14" s="24">
        <f>SUM(N15:N16)</f>
        <v>0</v>
      </c>
      <c r="O14" s="24">
        <f>SUM(O15:O16)+137934</f>
        <v>137934</v>
      </c>
      <c r="P14" s="24">
        <f t="shared" ref="P14:U14" si="7">SUM(P15:P16)</f>
        <v>0</v>
      </c>
      <c r="Q14" s="24">
        <f t="shared" si="7"/>
        <v>0</v>
      </c>
      <c r="R14" s="24">
        <f t="shared" si="7"/>
        <v>0</v>
      </c>
      <c r="S14" s="24">
        <f t="shared" si="7"/>
        <v>0</v>
      </c>
      <c r="T14" s="24">
        <f t="shared" si="7"/>
        <v>0</v>
      </c>
      <c r="U14" s="24">
        <f t="shared" si="7"/>
        <v>0</v>
      </c>
      <c r="V14" s="24">
        <f>SUM(V15:V16)+137934</f>
        <v>137934</v>
      </c>
      <c r="W14" s="24">
        <f>SUM(W15:W16)</f>
        <v>0</v>
      </c>
      <c r="X14" s="24">
        <f>SUM(X15:X16)</f>
        <v>0</v>
      </c>
      <c r="Y14" s="23" t="s">
        <v>47</v>
      </c>
      <c r="Z14" s="25" t="s">
        <v>34</v>
      </c>
      <c r="AA14" s="25" t="s">
        <v>48</v>
      </c>
      <c r="AB14" s="25" t="s">
        <v>49</v>
      </c>
      <c r="AC14" s="26"/>
    </row>
    <row r="15" spans="1:29" x14ac:dyDescent="0.25">
      <c r="A15" s="28"/>
      <c r="B15" s="29"/>
      <c r="C15" s="30"/>
      <c r="D15" s="30"/>
      <c r="E15" s="31">
        <v>0</v>
      </c>
      <c r="F15" s="31">
        <v>0</v>
      </c>
      <c r="G15" s="31">
        <v>0</v>
      </c>
      <c r="H15" s="31">
        <v>0</v>
      </c>
      <c r="I15" s="31">
        <v>0</v>
      </c>
      <c r="J15" s="31">
        <v>0</v>
      </c>
      <c r="K15" s="31">
        <v>0</v>
      </c>
      <c r="L15" s="31">
        <v>0</v>
      </c>
      <c r="M15" s="31">
        <v>0</v>
      </c>
      <c r="N15" s="31">
        <v>0</v>
      </c>
      <c r="O15" s="31">
        <v>0</v>
      </c>
      <c r="P15" s="31">
        <v>0</v>
      </c>
      <c r="Q15" s="31">
        <v>0</v>
      </c>
      <c r="R15" s="31">
        <v>0</v>
      </c>
      <c r="S15" s="31">
        <v>0</v>
      </c>
      <c r="T15" s="31">
        <v>0</v>
      </c>
      <c r="U15" s="31">
        <v>0</v>
      </c>
      <c r="V15" s="31">
        <v>0</v>
      </c>
      <c r="W15" s="31">
        <v>0</v>
      </c>
      <c r="X15" s="31">
        <v>0</v>
      </c>
      <c r="Y15" s="30" t="s">
        <v>50</v>
      </c>
      <c r="Z15" s="32" t="s">
        <v>34</v>
      </c>
      <c r="AA15" s="32" t="s">
        <v>51</v>
      </c>
      <c r="AB15" s="32" t="s">
        <v>48</v>
      </c>
      <c r="AC15" s="33"/>
    </row>
    <row r="16" spans="1:29" ht="114.75" customHeight="1" x14ac:dyDescent="0.25">
      <c r="A16" s="21" t="s">
        <v>52</v>
      </c>
      <c r="B16" s="22" t="s">
        <v>53</v>
      </c>
      <c r="C16" s="23"/>
      <c r="D16" s="23" t="s">
        <v>26</v>
      </c>
      <c r="E16" s="27">
        <v>0</v>
      </c>
      <c r="F16" s="27">
        <v>0</v>
      </c>
      <c r="G16" s="27">
        <v>0</v>
      </c>
      <c r="H16" s="27">
        <v>0</v>
      </c>
      <c r="I16" s="27">
        <v>0</v>
      </c>
      <c r="J16" s="27">
        <v>0</v>
      </c>
      <c r="K16" s="27">
        <v>0</v>
      </c>
      <c r="L16" s="27">
        <v>0</v>
      </c>
      <c r="M16" s="27">
        <v>0</v>
      </c>
      <c r="N16" s="27">
        <v>0</v>
      </c>
      <c r="O16" s="27">
        <v>0</v>
      </c>
      <c r="P16" s="27">
        <v>0</v>
      </c>
      <c r="Q16" s="27">
        <v>0</v>
      </c>
      <c r="R16" s="27">
        <v>0</v>
      </c>
      <c r="S16" s="27">
        <v>0</v>
      </c>
      <c r="T16" s="27">
        <v>0</v>
      </c>
      <c r="U16" s="27">
        <v>0</v>
      </c>
      <c r="V16" s="27">
        <v>0</v>
      </c>
      <c r="W16" s="27">
        <v>0</v>
      </c>
      <c r="X16" s="27">
        <v>0</v>
      </c>
      <c r="Y16" s="23"/>
      <c r="Z16" s="25"/>
      <c r="AA16" s="25"/>
      <c r="AB16" s="25"/>
      <c r="AC16" s="26"/>
    </row>
    <row r="17" spans="1:29" ht="57.75" customHeight="1" x14ac:dyDescent="0.25">
      <c r="A17" s="21" t="s">
        <v>54</v>
      </c>
      <c r="B17" s="22" t="s">
        <v>55</v>
      </c>
      <c r="C17" s="23"/>
      <c r="D17" s="23" t="s">
        <v>26</v>
      </c>
      <c r="E17" s="24">
        <f>SUM(E18:E18)+112128.59</f>
        <v>112128.59</v>
      </c>
      <c r="F17" s="24">
        <f>SUM(F18:F18)</f>
        <v>0</v>
      </c>
      <c r="G17" s="24">
        <f>SUM(G18:G18)</f>
        <v>0</v>
      </c>
      <c r="H17" s="24">
        <f>SUM(H18:H18)</f>
        <v>0</v>
      </c>
      <c r="I17" s="24">
        <f>SUM(I18:I18)</f>
        <v>0</v>
      </c>
      <c r="J17" s="24">
        <f>SUM(J18:J18)</f>
        <v>0</v>
      </c>
      <c r="K17" s="24">
        <f>SUM(K18:K18)+112128.59</f>
        <v>112128.59</v>
      </c>
      <c r="L17" s="24">
        <f>SUM(L18:L18)</f>
        <v>0</v>
      </c>
      <c r="M17" s="24">
        <f>SUM(M18:M18)</f>
        <v>0</v>
      </c>
      <c r="N17" s="24">
        <f>SUM(N18:N18)</f>
        <v>0</v>
      </c>
      <c r="O17" s="24">
        <f>SUM(O18:O18)+87421.71</f>
        <v>87421.71</v>
      </c>
      <c r="P17" s="24">
        <f>SUM(P18:P18)</f>
        <v>0</v>
      </c>
      <c r="Q17" s="24">
        <f>SUM(Q18:Q18)</f>
        <v>0</v>
      </c>
      <c r="R17" s="24">
        <f>SUM(R18:R18)</f>
        <v>0</v>
      </c>
      <c r="S17" s="24">
        <f>SUM(S18:S18)</f>
        <v>0</v>
      </c>
      <c r="T17" s="24">
        <f>SUM(T18:T18)</f>
        <v>0</v>
      </c>
      <c r="U17" s="24">
        <f>SUM(U18:U18)+87421.71</f>
        <v>87421.71</v>
      </c>
      <c r="V17" s="24">
        <f>SUM(V18:V18)</f>
        <v>0</v>
      </c>
      <c r="W17" s="24">
        <f>SUM(W18:W18)</f>
        <v>0</v>
      </c>
      <c r="X17" s="24">
        <f>SUM(X18:X18)</f>
        <v>0</v>
      </c>
      <c r="Y17" s="23" t="s">
        <v>56</v>
      </c>
      <c r="Z17" s="25" t="s">
        <v>34</v>
      </c>
      <c r="AA17" s="25" t="s">
        <v>57</v>
      </c>
      <c r="AB17" s="25" t="s">
        <v>48</v>
      </c>
      <c r="AC17" s="26"/>
    </row>
    <row r="18" spans="1:29" ht="57.75" customHeight="1" x14ac:dyDescent="0.25">
      <c r="A18" s="21" t="s">
        <v>58</v>
      </c>
      <c r="B18" s="22" t="s">
        <v>59</v>
      </c>
      <c r="C18" s="23"/>
      <c r="D18" s="23" t="s">
        <v>26</v>
      </c>
      <c r="E18" s="27">
        <v>0</v>
      </c>
      <c r="F18" s="27">
        <v>0</v>
      </c>
      <c r="G18" s="27">
        <v>0</v>
      </c>
      <c r="H18" s="27">
        <v>0</v>
      </c>
      <c r="I18" s="27">
        <v>0</v>
      </c>
      <c r="J18" s="27">
        <v>0</v>
      </c>
      <c r="K18" s="27">
        <v>0</v>
      </c>
      <c r="L18" s="27">
        <v>0</v>
      </c>
      <c r="M18" s="27">
        <v>0</v>
      </c>
      <c r="N18" s="27">
        <v>0</v>
      </c>
      <c r="O18" s="27">
        <v>0</v>
      </c>
      <c r="P18" s="27">
        <v>0</v>
      </c>
      <c r="Q18" s="27">
        <v>0</v>
      </c>
      <c r="R18" s="27">
        <v>0</v>
      </c>
      <c r="S18" s="27">
        <v>0</v>
      </c>
      <c r="T18" s="27">
        <v>0</v>
      </c>
      <c r="U18" s="27">
        <v>0</v>
      </c>
      <c r="V18" s="27">
        <v>0</v>
      </c>
      <c r="W18" s="27">
        <v>0</v>
      </c>
      <c r="X18" s="27">
        <v>0</v>
      </c>
      <c r="Y18" s="23"/>
      <c r="Z18" s="25"/>
      <c r="AA18" s="25"/>
      <c r="AB18" s="25"/>
      <c r="AC18" s="26"/>
    </row>
    <row r="19" spans="1:29" ht="50.25" customHeight="1" x14ac:dyDescent="0.25">
      <c r="A19" s="21" t="s">
        <v>60</v>
      </c>
      <c r="B19" s="22" t="s">
        <v>61</v>
      </c>
      <c r="C19" s="23" t="s">
        <v>25</v>
      </c>
      <c r="D19" s="23" t="s">
        <v>26</v>
      </c>
      <c r="E19" s="24">
        <f>SUM(E20:E20)+250000</f>
        <v>250000</v>
      </c>
      <c r="F19" s="24">
        <f>SUM(F20:F20)+250000</f>
        <v>250000</v>
      </c>
      <c r="G19" s="24">
        <f t="shared" ref="G19:N19" si="8">SUM(G20:G20)</f>
        <v>0</v>
      </c>
      <c r="H19" s="24">
        <f t="shared" si="8"/>
        <v>0</v>
      </c>
      <c r="I19" s="24">
        <f t="shared" si="8"/>
        <v>0</v>
      </c>
      <c r="J19" s="24">
        <f t="shared" si="8"/>
        <v>0</v>
      </c>
      <c r="K19" s="24">
        <f t="shared" si="8"/>
        <v>0</v>
      </c>
      <c r="L19" s="24">
        <f t="shared" si="8"/>
        <v>0</v>
      </c>
      <c r="M19" s="24">
        <f t="shared" si="8"/>
        <v>0</v>
      </c>
      <c r="N19" s="24">
        <f t="shared" si="8"/>
        <v>0</v>
      </c>
      <c r="O19" s="24">
        <f>SUM(O20:O20)+239360.99</f>
        <v>239360.99</v>
      </c>
      <c r="P19" s="24">
        <f>SUM(P20:P20)+239360.99</f>
        <v>239360.99</v>
      </c>
      <c r="Q19" s="24">
        <f t="shared" ref="Q19:X19" si="9">SUM(Q20:Q20)</f>
        <v>0</v>
      </c>
      <c r="R19" s="24">
        <f t="shared" si="9"/>
        <v>0</v>
      </c>
      <c r="S19" s="24">
        <f t="shared" si="9"/>
        <v>0</v>
      </c>
      <c r="T19" s="24">
        <f t="shared" si="9"/>
        <v>0</v>
      </c>
      <c r="U19" s="24">
        <f t="shared" si="9"/>
        <v>0</v>
      </c>
      <c r="V19" s="24">
        <f t="shared" si="9"/>
        <v>0</v>
      </c>
      <c r="W19" s="24">
        <f t="shared" si="9"/>
        <v>0</v>
      </c>
      <c r="X19" s="24">
        <f t="shared" si="9"/>
        <v>0</v>
      </c>
      <c r="Y19" s="23" t="s">
        <v>62</v>
      </c>
      <c r="Z19" s="25" t="s">
        <v>34</v>
      </c>
      <c r="AA19" s="25" t="s">
        <v>63</v>
      </c>
      <c r="AB19" s="25" t="s">
        <v>64</v>
      </c>
      <c r="AC19" s="26"/>
    </row>
    <row r="20" spans="1:29" ht="59.25" customHeight="1" x14ac:dyDescent="0.25">
      <c r="A20" s="21" t="s">
        <v>65</v>
      </c>
      <c r="B20" s="22" t="s">
        <v>66</v>
      </c>
      <c r="C20" s="23"/>
      <c r="D20" s="23" t="s">
        <v>26</v>
      </c>
      <c r="E20" s="27">
        <v>0</v>
      </c>
      <c r="F20" s="27">
        <v>0</v>
      </c>
      <c r="G20" s="27">
        <v>0</v>
      </c>
      <c r="H20" s="27">
        <v>0</v>
      </c>
      <c r="I20" s="27">
        <v>0</v>
      </c>
      <c r="J20" s="27">
        <v>0</v>
      </c>
      <c r="K20" s="27">
        <v>0</v>
      </c>
      <c r="L20" s="27">
        <v>0</v>
      </c>
      <c r="M20" s="27">
        <v>0</v>
      </c>
      <c r="N20" s="27">
        <v>0</v>
      </c>
      <c r="O20" s="27">
        <v>0</v>
      </c>
      <c r="P20" s="27">
        <v>0</v>
      </c>
      <c r="Q20" s="27">
        <v>0</v>
      </c>
      <c r="R20" s="27">
        <v>0</v>
      </c>
      <c r="S20" s="27">
        <v>0</v>
      </c>
      <c r="T20" s="27">
        <v>0</v>
      </c>
      <c r="U20" s="27">
        <v>0</v>
      </c>
      <c r="V20" s="27">
        <v>0</v>
      </c>
      <c r="W20" s="27">
        <v>0</v>
      </c>
      <c r="X20" s="27">
        <v>0</v>
      </c>
      <c r="Y20" s="23"/>
      <c r="Z20" s="25"/>
      <c r="AA20" s="25"/>
      <c r="AB20" s="25"/>
      <c r="AC20" s="26"/>
    </row>
    <row r="21" spans="1:29" ht="87" customHeight="1" x14ac:dyDescent="0.25">
      <c r="A21" s="21" t="s">
        <v>67</v>
      </c>
      <c r="B21" s="22" t="s">
        <v>68</v>
      </c>
      <c r="C21" s="23" t="s">
        <v>25</v>
      </c>
      <c r="D21" s="23" t="s">
        <v>26</v>
      </c>
      <c r="E21" s="24">
        <f>SUM(E22:E22)+483</f>
        <v>483</v>
      </c>
      <c r="F21" s="24">
        <f>SUM(F22:F22)+483</f>
        <v>483</v>
      </c>
      <c r="G21" s="24">
        <f t="shared" ref="G21:N21" si="10">SUM(G22:G22)</f>
        <v>0</v>
      </c>
      <c r="H21" s="24">
        <f t="shared" si="10"/>
        <v>0</v>
      </c>
      <c r="I21" s="24">
        <f t="shared" si="10"/>
        <v>0</v>
      </c>
      <c r="J21" s="24">
        <f t="shared" si="10"/>
        <v>0</v>
      </c>
      <c r="K21" s="24">
        <f t="shared" si="10"/>
        <v>0</v>
      </c>
      <c r="L21" s="24">
        <f t="shared" si="10"/>
        <v>0</v>
      </c>
      <c r="M21" s="24">
        <f t="shared" si="10"/>
        <v>0</v>
      </c>
      <c r="N21" s="24">
        <f t="shared" si="10"/>
        <v>0</v>
      </c>
      <c r="O21" s="24">
        <f>SUM(O22:O22)+438</f>
        <v>438</v>
      </c>
      <c r="P21" s="24">
        <f>SUM(P22:P22)+438</f>
        <v>438</v>
      </c>
      <c r="Q21" s="24">
        <f t="shared" ref="Q21:X21" si="11">SUM(Q22:Q22)</f>
        <v>0</v>
      </c>
      <c r="R21" s="24">
        <f t="shared" si="11"/>
        <v>0</v>
      </c>
      <c r="S21" s="24">
        <f t="shared" si="11"/>
        <v>0</v>
      </c>
      <c r="T21" s="24">
        <f t="shared" si="11"/>
        <v>0</v>
      </c>
      <c r="U21" s="24">
        <f t="shared" si="11"/>
        <v>0</v>
      </c>
      <c r="V21" s="24">
        <f t="shared" si="11"/>
        <v>0</v>
      </c>
      <c r="W21" s="24">
        <f t="shared" si="11"/>
        <v>0</v>
      </c>
      <c r="X21" s="24">
        <f t="shared" si="11"/>
        <v>0</v>
      </c>
      <c r="Y21" s="23" t="s">
        <v>69</v>
      </c>
      <c r="Z21" s="25" t="s">
        <v>34</v>
      </c>
      <c r="AA21" s="25" t="s">
        <v>70</v>
      </c>
      <c r="AB21" s="25" t="s">
        <v>71</v>
      </c>
      <c r="AC21" s="26"/>
    </row>
    <row r="22" spans="1:29" ht="94.5" customHeight="1" x14ac:dyDescent="0.25">
      <c r="A22" s="21" t="s">
        <v>72</v>
      </c>
      <c r="B22" s="22" t="s">
        <v>73</v>
      </c>
      <c r="C22" s="23"/>
      <c r="D22" s="23" t="s">
        <v>26</v>
      </c>
      <c r="E22" s="27">
        <v>0</v>
      </c>
      <c r="F22" s="27">
        <v>0</v>
      </c>
      <c r="G22" s="27">
        <v>0</v>
      </c>
      <c r="H22" s="27">
        <v>0</v>
      </c>
      <c r="I22" s="27">
        <v>0</v>
      </c>
      <c r="J22" s="27">
        <v>0</v>
      </c>
      <c r="K22" s="27">
        <v>0</v>
      </c>
      <c r="L22" s="27">
        <v>0</v>
      </c>
      <c r="M22" s="27">
        <v>0</v>
      </c>
      <c r="N22" s="27">
        <v>0</v>
      </c>
      <c r="O22" s="27">
        <v>0</v>
      </c>
      <c r="P22" s="27">
        <v>0</v>
      </c>
      <c r="Q22" s="27">
        <v>0</v>
      </c>
      <c r="R22" s="27">
        <v>0</v>
      </c>
      <c r="S22" s="27">
        <v>0</v>
      </c>
      <c r="T22" s="27">
        <v>0</v>
      </c>
      <c r="U22" s="27">
        <v>0</v>
      </c>
      <c r="V22" s="27">
        <v>0</v>
      </c>
      <c r="W22" s="27">
        <v>0</v>
      </c>
      <c r="X22" s="27">
        <v>0</v>
      </c>
      <c r="Y22" s="23"/>
      <c r="Z22" s="25"/>
      <c r="AA22" s="25"/>
      <c r="AB22" s="25"/>
      <c r="AC22" s="26"/>
    </row>
    <row r="23" spans="1:29" ht="114.75" customHeight="1" x14ac:dyDescent="0.25">
      <c r="A23" s="21" t="s">
        <v>74</v>
      </c>
      <c r="B23" s="22" t="s">
        <v>75</v>
      </c>
      <c r="C23" s="23" t="s">
        <v>25</v>
      </c>
      <c r="D23" s="23" t="s">
        <v>26</v>
      </c>
      <c r="E23" s="24">
        <f>SUM(E24:E27)+11559</f>
        <v>11559</v>
      </c>
      <c r="F23" s="24">
        <f>SUM(F24:F27)+11559</f>
        <v>11559</v>
      </c>
      <c r="G23" s="24">
        <f t="shared" ref="G23:N23" si="12">SUM(G24:G27)</f>
        <v>0</v>
      </c>
      <c r="H23" s="24">
        <f t="shared" si="12"/>
        <v>0</v>
      </c>
      <c r="I23" s="24">
        <f t="shared" si="12"/>
        <v>0</v>
      </c>
      <c r="J23" s="24">
        <f t="shared" si="12"/>
        <v>0</v>
      </c>
      <c r="K23" s="24">
        <f t="shared" si="12"/>
        <v>0</v>
      </c>
      <c r="L23" s="24">
        <f t="shared" si="12"/>
        <v>0</v>
      </c>
      <c r="M23" s="24">
        <f t="shared" si="12"/>
        <v>0</v>
      </c>
      <c r="N23" s="24">
        <f t="shared" si="12"/>
        <v>0</v>
      </c>
      <c r="O23" s="24">
        <f>SUM(O24:O27)+11323.77</f>
        <v>11323.77</v>
      </c>
      <c r="P23" s="24">
        <f>SUM(P24:P27)+11323.77</f>
        <v>11323.77</v>
      </c>
      <c r="Q23" s="24">
        <f t="shared" ref="Q23:X23" si="13">SUM(Q24:Q27)</f>
        <v>0</v>
      </c>
      <c r="R23" s="24">
        <f t="shared" si="13"/>
        <v>0</v>
      </c>
      <c r="S23" s="24">
        <f t="shared" si="13"/>
        <v>0</v>
      </c>
      <c r="T23" s="24">
        <f t="shared" si="13"/>
        <v>0</v>
      </c>
      <c r="U23" s="24">
        <f t="shared" si="13"/>
        <v>0</v>
      </c>
      <c r="V23" s="24">
        <f t="shared" si="13"/>
        <v>0</v>
      </c>
      <c r="W23" s="24">
        <f t="shared" si="13"/>
        <v>0</v>
      </c>
      <c r="X23" s="24">
        <f t="shared" si="13"/>
        <v>0</v>
      </c>
      <c r="Y23" s="23" t="s">
        <v>76</v>
      </c>
      <c r="Z23" s="25" t="s">
        <v>34</v>
      </c>
      <c r="AA23" s="25" t="s">
        <v>77</v>
      </c>
      <c r="AB23" s="25" t="s">
        <v>77</v>
      </c>
      <c r="AC23" s="26"/>
    </row>
    <row r="24" spans="1:29" x14ac:dyDescent="0.25">
      <c r="A24" s="28"/>
      <c r="B24" s="29"/>
      <c r="C24" s="30"/>
      <c r="D24" s="30"/>
      <c r="E24" s="31">
        <v>0</v>
      </c>
      <c r="F24" s="31">
        <v>0</v>
      </c>
      <c r="G24" s="31">
        <v>0</v>
      </c>
      <c r="H24" s="31">
        <v>0</v>
      </c>
      <c r="I24" s="31">
        <v>0</v>
      </c>
      <c r="J24" s="31">
        <v>0</v>
      </c>
      <c r="K24" s="31">
        <v>0</v>
      </c>
      <c r="L24" s="31">
        <v>0</v>
      </c>
      <c r="M24" s="31">
        <v>0</v>
      </c>
      <c r="N24" s="31">
        <v>0</v>
      </c>
      <c r="O24" s="31">
        <v>0</v>
      </c>
      <c r="P24" s="31">
        <v>0</v>
      </c>
      <c r="Q24" s="31">
        <v>0</v>
      </c>
      <c r="R24" s="31">
        <v>0</v>
      </c>
      <c r="S24" s="31">
        <v>0</v>
      </c>
      <c r="T24" s="31">
        <v>0</v>
      </c>
      <c r="U24" s="31">
        <v>0</v>
      </c>
      <c r="V24" s="31">
        <v>0</v>
      </c>
      <c r="W24" s="31">
        <v>0</v>
      </c>
      <c r="X24" s="31">
        <v>0</v>
      </c>
      <c r="Y24" s="30" t="s">
        <v>78</v>
      </c>
      <c r="Z24" s="32" t="s">
        <v>34</v>
      </c>
      <c r="AA24" s="32" t="s">
        <v>79</v>
      </c>
      <c r="AB24" s="32" t="s">
        <v>80</v>
      </c>
      <c r="AC24" s="33" t="s">
        <v>81</v>
      </c>
    </row>
    <row r="25" spans="1:29" x14ac:dyDescent="0.25">
      <c r="A25" s="28"/>
      <c r="B25" s="29"/>
      <c r="C25" s="30"/>
      <c r="D25" s="30"/>
      <c r="E25" s="31">
        <v>0</v>
      </c>
      <c r="F25" s="31">
        <v>0</v>
      </c>
      <c r="G25" s="31">
        <v>0</v>
      </c>
      <c r="H25" s="31">
        <v>0</v>
      </c>
      <c r="I25" s="31">
        <v>0</v>
      </c>
      <c r="J25" s="31">
        <v>0</v>
      </c>
      <c r="K25" s="31">
        <v>0</v>
      </c>
      <c r="L25" s="31">
        <v>0</v>
      </c>
      <c r="M25" s="31">
        <v>0</v>
      </c>
      <c r="N25" s="31">
        <v>0</v>
      </c>
      <c r="O25" s="31">
        <v>0</v>
      </c>
      <c r="P25" s="31">
        <v>0</v>
      </c>
      <c r="Q25" s="31">
        <v>0</v>
      </c>
      <c r="R25" s="31">
        <v>0</v>
      </c>
      <c r="S25" s="31">
        <v>0</v>
      </c>
      <c r="T25" s="31">
        <v>0</v>
      </c>
      <c r="U25" s="31">
        <v>0</v>
      </c>
      <c r="V25" s="31">
        <v>0</v>
      </c>
      <c r="W25" s="31">
        <v>0</v>
      </c>
      <c r="X25" s="31">
        <v>0</v>
      </c>
      <c r="Y25" s="30" t="s">
        <v>82</v>
      </c>
      <c r="Z25" s="32" t="s">
        <v>34</v>
      </c>
      <c r="AA25" s="32" t="s">
        <v>83</v>
      </c>
      <c r="AB25" s="32" t="s">
        <v>84</v>
      </c>
      <c r="AC25" s="33"/>
    </row>
    <row r="26" spans="1:29" ht="46.5" customHeight="1" x14ac:dyDescent="0.25">
      <c r="A26" s="28"/>
      <c r="B26" s="29"/>
      <c r="C26" s="30"/>
      <c r="D26" s="30"/>
      <c r="E26" s="31">
        <v>0</v>
      </c>
      <c r="F26" s="31">
        <v>0</v>
      </c>
      <c r="G26" s="31">
        <v>0</v>
      </c>
      <c r="H26" s="31">
        <v>0</v>
      </c>
      <c r="I26" s="31">
        <v>0</v>
      </c>
      <c r="J26" s="31">
        <v>0</v>
      </c>
      <c r="K26" s="31">
        <v>0</v>
      </c>
      <c r="L26" s="31">
        <v>0</v>
      </c>
      <c r="M26" s="31">
        <v>0</v>
      </c>
      <c r="N26" s="31">
        <v>0</v>
      </c>
      <c r="O26" s="31">
        <v>0</v>
      </c>
      <c r="P26" s="31">
        <v>0</v>
      </c>
      <c r="Q26" s="31">
        <v>0</v>
      </c>
      <c r="R26" s="31">
        <v>0</v>
      </c>
      <c r="S26" s="31">
        <v>0</v>
      </c>
      <c r="T26" s="31">
        <v>0</v>
      </c>
      <c r="U26" s="31">
        <v>0</v>
      </c>
      <c r="V26" s="31">
        <v>0</v>
      </c>
      <c r="W26" s="31">
        <v>0</v>
      </c>
      <c r="X26" s="31">
        <v>0</v>
      </c>
      <c r="Y26" s="30" t="s">
        <v>85</v>
      </c>
      <c r="Z26" s="32" t="s">
        <v>34</v>
      </c>
      <c r="AA26" s="32" t="s">
        <v>42</v>
      </c>
      <c r="AB26" s="32" t="s">
        <v>42</v>
      </c>
      <c r="AC26" s="33"/>
    </row>
    <row r="27" spans="1:29" ht="126" customHeight="1" x14ac:dyDescent="0.25">
      <c r="A27" s="21" t="s">
        <v>86</v>
      </c>
      <c r="B27" s="22" t="s">
        <v>87</v>
      </c>
      <c r="C27" s="23"/>
      <c r="D27" s="23" t="s">
        <v>26</v>
      </c>
      <c r="E27" s="27">
        <v>0</v>
      </c>
      <c r="F27" s="27">
        <v>0</v>
      </c>
      <c r="G27" s="27">
        <v>0</v>
      </c>
      <c r="H27" s="27">
        <v>0</v>
      </c>
      <c r="I27" s="27">
        <v>0</v>
      </c>
      <c r="J27" s="27">
        <v>0</v>
      </c>
      <c r="K27" s="27">
        <v>0</v>
      </c>
      <c r="L27" s="27">
        <v>0</v>
      </c>
      <c r="M27" s="27">
        <v>0</v>
      </c>
      <c r="N27" s="27">
        <v>0</v>
      </c>
      <c r="O27" s="27">
        <v>0</v>
      </c>
      <c r="P27" s="27">
        <v>0</v>
      </c>
      <c r="Q27" s="27">
        <v>0</v>
      </c>
      <c r="R27" s="27">
        <v>0</v>
      </c>
      <c r="S27" s="27">
        <v>0</v>
      </c>
      <c r="T27" s="27">
        <v>0</v>
      </c>
      <c r="U27" s="27">
        <v>0</v>
      </c>
      <c r="V27" s="27">
        <v>0</v>
      </c>
      <c r="W27" s="27">
        <v>0</v>
      </c>
      <c r="X27" s="27">
        <v>0</v>
      </c>
      <c r="Y27" s="23"/>
      <c r="Z27" s="25"/>
      <c r="AA27" s="25"/>
      <c r="AB27" s="25"/>
      <c r="AC27" s="26"/>
    </row>
    <row r="28" spans="1:29" ht="75.75" customHeight="1" x14ac:dyDescent="0.25">
      <c r="A28" s="21" t="s">
        <v>88</v>
      </c>
      <c r="B28" s="22" t="s">
        <v>89</v>
      </c>
      <c r="C28" s="23" t="s">
        <v>25</v>
      </c>
      <c r="D28" s="23" t="s">
        <v>26</v>
      </c>
      <c r="E28" s="24">
        <f>SUM(E29:E33)+6500</f>
        <v>6500</v>
      </c>
      <c r="F28" s="24">
        <f>SUM(F29:F33)+2500</f>
        <v>2500</v>
      </c>
      <c r="G28" s="24">
        <f>SUM(G29:G33)</f>
        <v>0</v>
      </c>
      <c r="H28" s="24">
        <f>SUM(H29:H33)</f>
        <v>0</v>
      </c>
      <c r="I28" s="24">
        <f>SUM(I29:I33)</f>
        <v>0</v>
      </c>
      <c r="J28" s="24">
        <f>SUM(J29:J33)</f>
        <v>0</v>
      </c>
      <c r="K28" s="24">
        <f>SUM(K29:K33)</f>
        <v>0</v>
      </c>
      <c r="L28" s="24">
        <f>SUM(L29:L33)+4000</f>
        <v>4000</v>
      </c>
      <c r="M28" s="24">
        <f>SUM(M29:M33)</f>
        <v>0</v>
      </c>
      <c r="N28" s="24">
        <f>SUM(N29:N33)</f>
        <v>0</v>
      </c>
      <c r="O28" s="24">
        <f>SUM(O29:O33)+4444.56</f>
        <v>4444.5600000000004</v>
      </c>
      <c r="P28" s="24">
        <f>SUM(P29:P33)+444.56</f>
        <v>444.56</v>
      </c>
      <c r="Q28" s="24">
        <f>SUM(Q29:Q33)</f>
        <v>0</v>
      </c>
      <c r="R28" s="24">
        <f>SUM(R29:R33)</f>
        <v>0</v>
      </c>
      <c r="S28" s="24">
        <f>SUM(S29:S33)</f>
        <v>0</v>
      </c>
      <c r="T28" s="24">
        <f>SUM(T29:T33)</f>
        <v>0</v>
      </c>
      <c r="U28" s="24">
        <f>SUM(U29:U33)</f>
        <v>0</v>
      </c>
      <c r="V28" s="24">
        <f>SUM(V29:V33)+4000</f>
        <v>4000</v>
      </c>
      <c r="W28" s="24">
        <f>SUM(W29:W33)</f>
        <v>0</v>
      </c>
      <c r="X28" s="24">
        <f>SUM(X29:X33)</f>
        <v>0</v>
      </c>
      <c r="Y28" s="23" t="s">
        <v>90</v>
      </c>
      <c r="Z28" s="25" t="s">
        <v>34</v>
      </c>
      <c r="AA28" s="25" t="s">
        <v>51</v>
      </c>
      <c r="AB28" s="25" t="s">
        <v>91</v>
      </c>
      <c r="AC28" s="26"/>
    </row>
    <row r="29" spans="1:29" ht="40.5" x14ac:dyDescent="0.25">
      <c r="A29" s="28"/>
      <c r="B29" s="29"/>
      <c r="C29" s="30"/>
      <c r="D29" s="30"/>
      <c r="E29" s="31">
        <v>0</v>
      </c>
      <c r="F29" s="31">
        <v>0</v>
      </c>
      <c r="G29" s="31">
        <v>0</v>
      </c>
      <c r="H29" s="31">
        <v>0</v>
      </c>
      <c r="I29" s="31">
        <v>0</v>
      </c>
      <c r="J29" s="31">
        <v>0</v>
      </c>
      <c r="K29" s="31">
        <v>0</v>
      </c>
      <c r="L29" s="31">
        <v>0</v>
      </c>
      <c r="M29" s="31">
        <v>0</v>
      </c>
      <c r="N29" s="31">
        <v>0</v>
      </c>
      <c r="O29" s="31">
        <v>0</v>
      </c>
      <c r="P29" s="31">
        <v>0</v>
      </c>
      <c r="Q29" s="31">
        <v>0</v>
      </c>
      <c r="R29" s="31">
        <v>0</v>
      </c>
      <c r="S29" s="31">
        <v>0</v>
      </c>
      <c r="T29" s="31">
        <v>0</v>
      </c>
      <c r="U29" s="31">
        <v>0</v>
      </c>
      <c r="V29" s="31">
        <v>0</v>
      </c>
      <c r="W29" s="31">
        <v>0</v>
      </c>
      <c r="X29" s="31">
        <v>0</v>
      </c>
      <c r="Y29" s="30" t="s">
        <v>92</v>
      </c>
      <c r="Z29" s="32" t="s">
        <v>34</v>
      </c>
      <c r="AA29" s="32" t="s">
        <v>42</v>
      </c>
      <c r="AB29" s="32" t="s">
        <v>48</v>
      </c>
      <c r="AC29" s="33" t="s">
        <v>93</v>
      </c>
    </row>
    <row r="30" spans="1:29" ht="46.5" customHeight="1" x14ac:dyDescent="0.25">
      <c r="A30" s="28"/>
      <c r="B30" s="29"/>
      <c r="C30" s="30"/>
      <c r="D30" s="30"/>
      <c r="E30" s="31">
        <v>0</v>
      </c>
      <c r="F30" s="31">
        <v>0</v>
      </c>
      <c r="G30" s="31">
        <v>0</v>
      </c>
      <c r="H30" s="31">
        <v>0</v>
      </c>
      <c r="I30" s="31">
        <v>0</v>
      </c>
      <c r="J30" s="31">
        <v>0</v>
      </c>
      <c r="K30" s="31">
        <v>0</v>
      </c>
      <c r="L30" s="31">
        <v>0</v>
      </c>
      <c r="M30" s="31">
        <v>0</v>
      </c>
      <c r="N30" s="31">
        <v>0</v>
      </c>
      <c r="O30" s="31">
        <v>0</v>
      </c>
      <c r="P30" s="31">
        <v>0</v>
      </c>
      <c r="Q30" s="31">
        <v>0</v>
      </c>
      <c r="R30" s="31">
        <v>0</v>
      </c>
      <c r="S30" s="31">
        <v>0</v>
      </c>
      <c r="T30" s="31">
        <v>0</v>
      </c>
      <c r="U30" s="31">
        <v>0</v>
      </c>
      <c r="V30" s="31">
        <v>0</v>
      </c>
      <c r="W30" s="31">
        <v>0</v>
      </c>
      <c r="X30" s="31">
        <v>0</v>
      </c>
      <c r="Y30" s="30" t="s">
        <v>94</v>
      </c>
      <c r="Z30" s="32" t="s">
        <v>34</v>
      </c>
      <c r="AA30" s="32" t="s">
        <v>95</v>
      </c>
      <c r="AB30" s="32" t="s">
        <v>96</v>
      </c>
      <c r="AC30" s="33"/>
    </row>
    <row r="31" spans="1:29" ht="51.75" customHeight="1" x14ac:dyDescent="0.25">
      <c r="A31" s="21" t="s">
        <v>97</v>
      </c>
      <c r="B31" s="22" t="s">
        <v>98</v>
      </c>
      <c r="C31" s="23"/>
      <c r="D31" s="23" t="s">
        <v>26</v>
      </c>
      <c r="E31" s="27">
        <v>0</v>
      </c>
      <c r="F31" s="27">
        <v>0</v>
      </c>
      <c r="G31" s="27">
        <v>0</v>
      </c>
      <c r="H31" s="27">
        <v>0</v>
      </c>
      <c r="I31" s="27">
        <v>0</v>
      </c>
      <c r="J31" s="27">
        <v>0</v>
      </c>
      <c r="K31" s="27">
        <v>0</v>
      </c>
      <c r="L31" s="27">
        <v>0</v>
      </c>
      <c r="M31" s="27">
        <v>0</v>
      </c>
      <c r="N31" s="27">
        <v>0</v>
      </c>
      <c r="O31" s="27">
        <v>0</v>
      </c>
      <c r="P31" s="27">
        <v>0</v>
      </c>
      <c r="Q31" s="27">
        <v>0</v>
      </c>
      <c r="R31" s="27">
        <v>0</v>
      </c>
      <c r="S31" s="27">
        <v>0</v>
      </c>
      <c r="T31" s="27">
        <v>0</v>
      </c>
      <c r="U31" s="27">
        <v>0</v>
      </c>
      <c r="V31" s="27">
        <v>0</v>
      </c>
      <c r="W31" s="27">
        <v>0</v>
      </c>
      <c r="X31" s="27">
        <v>0</v>
      </c>
      <c r="Y31" s="23"/>
      <c r="Z31" s="25"/>
      <c r="AA31" s="25"/>
      <c r="AB31" s="25"/>
      <c r="AC31" s="26"/>
    </row>
    <row r="32" spans="1:29" ht="57.75" customHeight="1" x14ac:dyDescent="0.25">
      <c r="A32" s="21" t="s">
        <v>99</v>
      </c>
      <c r="B32" s="22" t="s">
        <v>100</v>
      </c>
      <c r="C32" s="23"/>
      <c r="D32" s="23" t="s">
        <v>26</v>
      </c>
      <c r="E32" s="27">
        <v>0</v>
      </c>
      <c r="F32" s="27">
        <v>0</v>
      </c>
      <c r="G32" s="27">
        <v>0</v>
      </c>
      <c r="H32" s="27">
        <v>0</v>
      </c>
      <c r="I32" s="27">
        <v>0</v>
      </c>
      <c r="J32" s="27">
        <v>0</v>
      </c>
      <c r="K32" s="27">
        <v>0</v>
      </c>
      <c r="L32" s="27">
        <v>0</v>
      </c>
      <c r="M32" s="27">
        <v>0</v>
      </c>
      <c r="N32" s="27">
        <v>0</v>
      </c>
      <c r="O32" s="27">
        <v>0</v>
      </c>
      <c r="P32" s="27">
        <v>0</v>
      </c>
      <c r="Q32" s="27">
        <v>0</v>
      </c>
      <c r="R32" s="27">
        <v>0</v>
      </c>
      <c r="S32" s="27">
        <v>0</v>
      </c>
      <c r="T32" s="27">
        <v>0</v>
      </c>
      <c r="U32" s="27">
        <v>0</v>
      </c>
      <c r="V32" s="27">
        <v>0</v>
      </c>
      <c r="W32" s="27">
        <v>0</v>
      </c>
      <c r="X32" s="27">
        <v>0</v>
      </c>
      <c r="Y32" s="23"/>
      <c r="Z32" s="25"/>
      <c r="AA32" s="25"/>
      <c r="AB32" s="25"/>
      <c r="AC32" s="26"/>
    </row>
    <row r="33" spans="1:29" ht="57.75" customHeight="1" x14ac:dyDescent="0.25">
      <c r="A33" s="21" t="s">
        <v>101</v>
      </c>
      <c r="B33" s="22" t="s">
        <v>102</v>
      </c>
      <c r="C33" s="23"/>
      <c r="D33" s="23" t="s">
        <v>26</v>
      </c>
      <c r="E33" s="27">
        <v>0</v>
      </c>
      <c r="F33" s="27">
        <v>0</v>
      </c>
      <c r="G33" s="27">
        <v>0</v>
      </c>
      <c r="H33" s="27">
        <v>0</v>
      </c>
      <c r="I33" s="27">
        <v>0</v>
      </c>
      <c r="J33" s="27">
        <v>0</v>
      </c>
      <c r="K33" s="27">
        <v>0</v>
      </c>
      <c r="L33" s="27">
        <v>0</v>
      </c>
      <c r="M33" s="27">
        <v>0</v>
      </c>
      <c r="N33" s="27">
        <v>0</v>
      </c>
      <c r="O33" s="27">
        <v>0</v>
      </c>
      <c r="P33" s="27">
        <v>0</v>
      </c>
      <c r="Q33" s="27">
        <v>0</v>
      </c>
      <c r="R33" s="27">
        <v>0</v>
      </c>
      <c r="S33" s="27">
        <v>0</v>
      </c>
      <c r="T33" s="27">
        <v>0</v>
      </c>
      <c r="U33" s="27">
        <v>0</v>
      </c>
      <c r="V33" s="27">
        <v>0</v>
      </c>
      <c r="W33" s="27">
        <v>0</v>
      </c>
      <c r="X33" s="27">
        <v>0</v>
      </c>
      <c r="Y33" s="23"/>
      <c r="Z33" s="25"/>
      <c r="AA33" s="25"/>
      <c r="AB33" s="25"/>
      <c r="AC33" s="26"/>
    </row>
    <row r="34" spans="1:29" ht="72" customHeight="1" x14ac:dyDescent="0.25">
      <c r="A34" s="15" t="s">
        <v>103</v>
      </c>
      <c r="B34" s="16" t="s">
        <v>104</v>
      </c>
      <c r="C34" s="17"/>
      <c r="D34" s="17"/>
      <c r="E34" s="18">
        <f t="shared" ref="E34:X34" si="14">SUM(E35:E35)</f>
        <v>3000</v>
      </c>
      <c r="F34" s="18">
        <f t="shared" si="14"/>
        <v>0</v>
      </c>
      <c r="G34" s="18">
        <f t="shared" si="14"/>
        <v>0</v>
      </c>
      <c r="H34" s="18">
        <f t="shared" si="14"/>
        <v>0</v>
      </c>
      <c r="I34" s="18">
        <f t="shared" si="14"/>
        <v>0</v>
      </c>
      <c r="J34" s="18">
        <f t="shared" si="14"/>
        <v>0</v>
      </c>
      <c r="K34" s="18">
        <f t="shared" si="14"/>
        <v>0</v>
      </c>
      <c r="L34" s="18">
        <f t="shared" si="14"/>
        <v>3000</v>
      </c>
      <c r="M34" s="18">
        <f t="shared" si="14"/>
        <v>0</v>
      </c>
      <c r="N34" s="18">
        <f t="shared" si="14"/>
        <v>0</v>
      </c>
      <c r="O34" s="18">
        <f t="shared" si="14"/>
        <v>2950</v>
      </c>
      <c r="P34" s="18">
        <f t="shared" si="14"/>
        <v>0</v>
      </c>
      <c r="Q34" s="18">
        <f t="shared" si="14"/>
        <v>0</v>
      </c>
      <c r="R34" s="18">
        <f t="shared" si="14"/>
        <v>0</v>
      </c>
      <c r="S34" s="18">
        <f t="shared" si="14"/>
        <v>0</v>
      </c>
      <c r="T34" s="18">
        <f t="shared" si="14"/>
        <v>0</v>
      </c>
      <c r="U34" s="18">
        <f t="shared" si="14"/>
        <v>0</v>
      </c>
      <c r="V34" s="18">
        <f t="shared" si="14"/>
        <v>2950</v>
      </c>
      <c r="W34" s="18">
        <f t="shared" si="14"/>
        <v>0</v>
      </c>
      <c r="X34" s="18">
        <f t="shared" si="14"/>
        <v>0</v>
      </c>
      <c r="Y34" s="17"/>
      <c r="Z34" s="19"/>
      <c r="AA34" s="19"/>
      <c r="AB34" s="19"/>
      <c r="AC34" s="20"/>
    </row>
    <row r="35" spans="1:29" ht="111" customHeight="1" x14ac:dyDescent="0.25">
      <c r="A35" s="21" t="s">
        <v>105</v>
      </c>
      <c r="B35" s="22" t="s">
        <v>106</v>
      </c>
      <c r="C35" s="23" t="s">
        <v>25</v>
      </c>
      <c r="D35" s="23" t="s">
        <v>26</v>
      </c>
      <c r="E35" s="24">
        <f>SUM(E36:E36)+3000</f>
        <v>3000</v>
      </c>
      <c r="F35" s="24">
        <f t="shared" ref="F35:K35" si="15">SUM(F36:F36)</f>
        <v>0</v>
      </c>
      <c r="G35" s="24">
        <f t="shared" si="15"/>
        <v>0</v>
      </c>
      <c r="H35" s="24">
        <f t="shared" si="15"/>
        <v>0</v>
      </c>
      <c r="I35" s="24">
        <f t="shared" si="15"/>
        <v>0</v>
      </c>
      <c r="J35" s="24">
        <f t="shared" si="15"/>
        <v>0</v>
      </c>
      <c r="K35" s="24">
        <f t="shared" si="15"/>
        <v>0</v>
      </c>
      <c r="L35" s="24">
        <f>SUM(L36:L36)+3000</f>
        <v>3000</v>
      </c>
      <c r="M35" s="24">
        <f>SUM(M36:M36)</f>
        <v>0</v>
      </c>
      <c r="N35" s="24">
        <f>SUM(N36:N36)</f>
        <v>0</v>
      </c>
      <c r="O35" s="24">
        <f>SUM(O36:O36)+2950</f>
        <v>2950</v>
      </c>
      <c r="P35" s="24">
        <f t="shared" ref="P35:U35" si="16">SUM(P36:P36)</f>
        <v>0</v>
      </c>
      <c r="Q35" s="24">
        <f t="shared" si="16"/>
        <v>0</v>
      </c>
      <c r="R35" s="24">
        <f t="shared" si="16"/>
        <v>0</v>
      </c>
      <c r="S35" s="24">
        <f t="shared" si="16"/>
        <v>0</v>
      </c>
      <c r="T35" s="24">
        <f t="shared" si="16"/>
        <v>0</v>
      </c>
      <c r="U35" s="24">
        <f t="shared" si="16"/>
        <v>0</v>
      </c>
      <c r="V35" s="24">
        <f>SUM(V36:V36)+2950</f>
        <v>2950</v>
      </c>
      <c r="W35" s="24">
        <f>SUM(W36:W36)</f>
        <v>0</v>
      </c>
      <c r="X35" s="24">
        <f>SUM(X36:X36)</f>
        <v>0</v>
      </c>
      <c r="Y35" s="23" t="s">
        <v>107</v>
      </c>
      <c r="Z35" s="25" t="s">
        <v>34</v>
      </c>
      <c r="AA35" s="25" t="s">
        <v>108</v>
      </c>
      <c r="AB35" s="25" t="s">
        <v>109</v>
      </c>
      <c r="AC35" s="26"/>
    </row>
    <row r="36" spans="1:29" ht="85.5" customHeight="1" x14ac:dyDescent="0.25">
      <c r="A36" s="21" t="s">
        <v>110</v>
      </c>
      <c r="B36" s="22" t="s">
        <v>111</v>
      </c>
      <c r="C36" s="23"/>
      <c r="D36" s="23" t="s">
        <v>26</v>
      </c>
      <c r="E36" s="27">
        <v>0</v>
      </c>
      <c r="F36" s="27">
        <v>0</v>
      </c>
      <c r="G36" s="27">
        <v>0</v>
      </c>
      <c r="H36" s="27">
        <v>0</v>
      </c>
      <c r="I36" s="27">
        <v>0</v>
      </c>
      <c r="J36" s="27">
        <v>0</v>
      </c>
      <c r="K36" s="27">
        <v>0</v>
      </c>
      <c r="L36" s="27">
        <v>0</v>
      </c>
      <c r="M36" s="27">
        <v>0</v>
      </c>
      <c r="N36" s="27">
        <v>0</v>
      </c>
      <c r="O36" s="27">
        <v>0</v>
      </c>
      <c r="P36" s="27">
        <v>0</v>
      </c>
      <c r="Q36" s="27">
        <v>0</v>
      </c>
      <c r="R36" s="27">
        <v>0</v>
      </c>
      <c r="S36" s="27">
        <v>0</v>
      </c>
      <c r="T36" s="27">
        <v>0</v>
      </c>
      <c r="U36" s="27">
        <v>0</v>
      </c>
      <c r="V36" s="27">
        <v>0</v>
      </c>
      <c r="W36" s="27">
        <v>0</v>
      </c>
      <c r="X36" s="27">
        <v>0</v>
      </c>
      <c r="Y36" s="23"/>
      <c r="Z36" s="25"/>
      <c r="AA36" s="25"/>
      <c r="AB36" s="25"/>
      <c r="AC36" s="26"/>
    </row>
    <row r="37" spans="1:29" ht="66.75" customHeight="1" x14ac:dyDescent="0.25">
      <c r="A37" s="9" t="s">
        <v>112</v>
      </c>
      <c r="B37" s="10" t="s">
        <v>113</v>
      </c>
      <c r="C37" s="11"/>
      <c r="D37" s="11"/>
      <c r="E37" s="12">
        <f t="shared" ref="E37:N38" si="17">SUM(E38:E38)</f>
        <v>2000</v>
      </c>
      <c r="F37" s="12">
        <f t="shared" si="17"/>
        <v>0</v>
      </c>
      <c r="G37" s="12">
        <f t="shared" si="17"/>
        <v>0</v>
      </c>
      <c r="H37" s="12">
        <f t="shared" si="17"/>
        <v>0</v>
      </c>
      <c r="I37" s="12">
        <f t="shared" si="17"/>
        <v>0</v>
      </c>
      <c r="J37" s="12">
        <f t="shared" si="17"/>
        <v>0</v>
      </c>
      <c r="K37" s="12">
        <f t="shared" si="17"/>
        <v>0</v>
      </c>
      <c r="L37" s="12">
        <f t="shared" si="17"/>
        <v>2000</v>
      </c>
      <c r="M37" s="12">
        <f t="shared" si="17"/>
        <v>0</v>
      </c>
      <c r="N37" s="12">
        <f t="shared" si="17"/>
        <v>0</v>
      </c>
      <c r="O37" s="12">
        <f t="shared" ref="O37:X38" si="18">SUM(O38:O38)</f>
        <v>2000</v>
      </c>
      <c r="P37" s="12">
        <f t="shared" si="18"/>
        <v>0</v>
      </c>
      <c r="Q37" s="12">
        <f t="shared" si="18"/>
        <v>0</v>
      </c>
      <c r="R37" s="12">
        <f t="shared" si="18"/>
        <v>0</v>
      </c>
      <c r="S37" s="12">
        <f t="shared" si="18"/>
        <v>0</v>
      </c>
      <c r="T37" s="12">
        <f t="shared" si="18"/>
        <v>0</v>
      </c>
      <c r="U37" s="12">
        <f t="shared" si="18"/>
        <v>0</v>
      </c>
      <c r="V37" s="12">
        <f t="shared" si="18"/>
        <v>2000</v>
      </c>
      <c r="W37" s="12">
        <f t="shared" si="18"/>
        <v>0</v>
      </c>
      <c r="X37" s="12">
        <f t="shared" si="18"/>
        <v>0</v>
      </c>
      <c r="Y37" s="11"/>
      <c r="Z37" s="13"/>
      <c r="AA37" s="13"/>
      <c r="AB37" s="13"/>
      <c r="AC37" s="14"/>
    </row>
    <row r="38" spans="1:29" ht="74.25" customHeight="1" x14ac:dyDescent="0.25">
      <c r="A38" s="15" t="s">
        <v>114</v>
      </c>
      <c r="B38" s="16" t="s">
        <v>115</v>
      </c>
      <c r="C38" s="17"/>
      <c r="D38" s="17"/>
      <c r="E38" s="18">
        <f t="shared" si="17"/>
        <v>2000</v>
      </c>
      <c r="F38" s="18">
        <f t="shared" si="17"/>
        <v>0</v>
      </c>
      <c r="G38" s="18">
        <f t="shared" si="17"/>
        <v>0</v>
      </c>
      <c r="H38" s="18">
        <f t="shared" si="17"/>
        <v>0</v>
      </c>
      <c r="I38" s="18">
        <f t="shared" si="17"/>
        <v>0</v>
      </c>
      <c r="J38" s="18">
        <f t="shared" si="17"/>
        <v>0</v>
      </c>
      <c r="K38" s="18">
        <f t="shared" si="17"/>
        <v>0</v>
      </c>
      <c r="L38" s="18">
        <f t="shared" si="17"/>
        <v>2000</v>
      </c>
      <c r="M38" s="18">
        <f t="shared" si="17"/>
        <v>0</v>
      </c>
      <c r="N38" s="18">
        <f t="shared" si="17"/>
        <v>0</v>
      </c>
      <c r="O38" s="18">
        <f t="shared" si="18"/>
        <v>2000</v>
      </c>
      <c r="P38" s="18">
        <f t="shared" si="18"/>
        <v>0</v>
      </c>
      <c r="Q38" s="18">
        <f t="shared" si="18"/>
        <v>0</v>
      </c>
      <c r="R38" s="18">
        <f t="shared" si="18"/>
        <v>0</v>
      </c>
      <c r="S38" s="18">
        <f t="shared" si="18"/>
        <v>0</v>
      </c>
      <c r="T38" s="18">
        <f t="shared" si="18"/>
        <v>0</v>
      </c>
      <c r="U38" s="18">
        <f t="shared" si="18"/>
        <v>0</v>
      </c>
      <c r="V38" s="18">
        <f t="shared" si="18"/>
        <v>2000</v>
      </c>
      <c r="W38" s="18">
        <f t="shared" si="18"/>
        <v>0</v>
      </c>
      <c r="X38" s="18">
        <f t="shared" si="18"/>
        <v>0</v>
      </c>
      <c r="Y38" s="17"/>
      <c r="Z38" s="19"/>
      <c r="AA38" s="19"/>
      <c r="AB38" s="19"/>
      <c r="AC38" s="20"/>
    </row>
    <row r="39" spans="1:29" ht="66.75" customHeight="1" x14ac:dyDescent="0.25">
      <c r="A39" s="21" t="s">
        <v>116</v>
      </c>
      <c r="B39" s="22" t="s">
        <v>117</v>
      </c>
      <c r="C39" s="23" t="s">
        <v>25</v>
      </c>
      <c r="D39" s="23" t="s">
        <v>26</v>
      </c>
      <c r="E39" s="24">
        <f>SUM(E40:E40)+2000</f>
        <v>2000</v>
      </c>
      <c r="F39" s="24">
        <f t="shared" ref="F39:K39" si="19">SUM(F40:F40)</f>
        <v>0</v>
      </c>
      <c r="G39" s="24">
        <f t="shared" si="19"/>
        <v>0</v>
      </c>
      <c r="H39" s="24">
        <f t="shared" si="19"/>
        <v>0</v>
      </c>
      <c r="I39" s="24">
        <f t="shared" si="19"/>
        <v>0</v>
      </c>
      <c r="J39" s="24">
        <f t="shared" si="19"/>
        <v>0</v>
      </c>
      <c r="K39" s="24">
        <f t="shared" si="19"/>
        <v>0</v>
      </c>
      <c r="L39" s="24">
        <f>SUM(L40:L40)+2000</f>
        <v>2000</v>
      </c>
      <c r="M39" s="24">
        <f>SUM(M40:M40)</f>
        <v>0</v>
      </c>
      <c r="N39" s="24">
        <f>SUM(N40:N40)</f>
        <v>0</v>
      </c>
      <c r="O39" s="24">
        <f>SUM(O40:O40)+2000</f>
        <v>2000</v>
      </c>
      <c r="P39" s="24">
        <f t="shared" ref="P39:U39" si="20">SUM(P40:P40)</f>
        <v>0</v>
      </c>
      <c r="Q39" s="24">
        <f t="shared" si="20"/>
        <v>0</v>
      </c>
      <c r="R39" s="24">
        <f t="shared" si="20"/>
        <v>0</v>
      </c>
      <c r="S39" s="24">
        <f t="shared" si="20"/>
        <v>0</v>
      </c>
      <c r="T39" s="24">
        <f t="shared" si="20"/>
        <v>0</v>
      </c>
      <c r="U39" s="24">
        <f t="shared" si="20"/>
        <v>0</v>
      </c>
      <c r="V39" s="24">
        <f>SUM(V40:V40)+2000</f>
        <v>2000</v>
      </c>
      <c r="W39" s="24">
        <f>SUM(W40:W40)</f>
        <v>0</v>
      </c>
      <c r="X39" s="24">
        <f>SUM(X40:X40)</f>
        <v>0</v>
      </c>
      <c r="Y39" s="23" t="s">
        <v>118</v>
      </c>
      <c r="Z39" s="25" t="s">
        <v>34</v>
      </c>
      <c r="AA39" s="25" t="s">
        <v>49</v>
      </c>
      <c r="AB39" s="25" t="s">
        <v>49</v>
      </c>
      <c r="AC39" s="26"/>
    </row>
    <row r="40" spans="1:29" ht="79.5" customHeight="1" x14ac:dyDescent="0.25">
      <c r="A40" s="21" t="s">
        <v>119</v>
      </c>
      <c r="B40" s="22" t="s">
        <v>120</v>
      </c>
      <c r="C40" s="23"/>
      <c r="D40" s="23" t="s">
        <v>26</v>
      </c>
      <c r="E40" s="27">
        <v>0</v>
      </c>
      <c r="F40" s="27">
        <v>0</v>
      </c>
      <c r="G40" s="27">
        <v>0</v>
      </c>
      <c r="H40" s="27">
        <v>0</v>
      </c>
      <c r="I40" s="27">
        <v>0</v>
      </c>
      <c r="J40" s="27">
        <v>0</v>
      </c>
      <c r="K40" s="27">
        <v>0</v>
      </c>
      <c r="L40" s="27">
        <v>0</v>
      </c>
      <c r="M40" s="27">
        <v>0</v>
      </c>
      <c r="N40" s="27">
        <v>0</v>
      </c>
      <c r="O40" s="27">
        <v>0</v>
      </c>
      <c r="P40" s="27">
        <v>0</v>
      </c>
      <c r="Q40" s="27">
        <v>0</v>
      </c>
      <c r="R40" s="27">
        <v>0</v>
      </c>
      <c r="S40" s="27">
        <v>0</v>
      </c>
      <c r="T40" s="27">
        <v>0</v>
      </c>
      <c r="U40" s="27">
        <v>0</v>
      </c>
      <c r="V40" s="27">
        <v>0</v>
      </c>
      <c r="W40" s="27">
        <v>0</v>
      </c>
      <c r="X40" s="27">
        <v>0</v>
      </c>
      <c r="Y40" s="23"/>
      <c r="Z40" s="25"/>
      <c r="AA40" s="25"/>
      <c r="AB40" s="25"/>
      <c r="AC40" s="26"/>
    </row>
    <row r="41" spans="1:29" ht="74.25" customHeight="1" x14ac:dyDescent="0.25">
      <c r="A41" s="9" t="s">
        <v>121</v>
      </c>
      <c r="B41" s="10" t="s">
        <v>122</v>
      </c>
      <c r="C41" s="11"/>
      <c r="D41" s="11"/>
      <c r="E41" s="12">
        <f t="shared" ref="E41:N42" si="21">SUM(E42:E42)</f>
        <v>16000</v>
      </c>
      <c r="F41" s="12">
        <f t="shared" si="21"/>
        <v>8000</v>
      </c>
      <c r="G41" s="12">
        <f t="shared" si="21"/>
        <v>0</v>
      </c>
      <c r="H41" s="12">
        <f t="shared" si="21"/>
        <v>0</v>
      </c>
      <c r="I41" s="12">
        <f t="shared" si="21"/>
        <v>0</v>
      </c>
      <c r="J41" s="12">
        <f t="shared" si="21"/>
        <v>0</v>
      </c>
      <c r="K41" s="12">
        <f t="shared" si="21"/>
        <v>0</v>
      </c>
      <c r="L41" s="12">
        <f t="shared" si="21"/>
        <v>8000</v>
      </c>
      <c r="M41" s="12">
        <f t="shared" si="21"/>
        <v>0</v>
      </c>
      <c r="N41" s="12">
        <f t="shared" si="21"/>
        <v>0</v>
      </c>
      <c r="O41" s="12">
        <f t="shared" ref="O41:X42" si="22">SUM(O42:O42)</f>
        <v>0</v>
      </c>
      <c r="P41" s="12">
        <f t="shared" si="22"/>
        <v>0</v>
      </c>
      <c r="Q41" s="12">
        <f t="shared" si="22"/>
        <v>0</v>
      </c>
      <c r="R41" s="12">
        <f t="shared" si="22"/>
        <v>0</v>
      </c>
      <c r="S41" s="12">
        <f t="shared" si="22"/>
        <v>0</v>
      </c>
      <c r="T41" s="12">
        <f t="shared" si="22"/>
        <v>0</v>
      </c>
      <c r="U41" s="12">
        <f t="shared" si="22"/>
        <v>0</v>
      </c>
      <c r="V41" s="12">
        <f t="shared" si="22"/>
        <v>0</v>
      </c>
      <c r="W41" s="12">
        <f t="shared" si="22"/>
        <v>0</v>
      </c>
      <c r="X41" s="12">
        <f t="shared" si="22"/>
        <v>0</v>
      </c>
      <c r="Y41" s="11"/>
      <c r="Z41" s="13"/>
      <c r="AA41" s="13"/>
      <c r="AB41" s="13"/>
      <c r="AC41" s="14"/>
    </row>
    <row r="42" spans="1:29" ht="55.5" customHeight="1" x14ac:dyDescent="0.25">
      <c r="A42" s="15" t="s">
        <v>123</v>
      </c>
      <c r="B42" s="16" t="s">
        <v>124</v>
      </c>
      <c r="C42" s="17"/>
      <c r="D42" s="17"/>
      <c r="E42" s="18">
        <f t="shared" si="21"/>
        <v>16000</v>
      </c>
      <c r="F42" s="18">
        <f t="shared" si="21"/>
        <v>8000</v>
      </c>
      <c r="G42" s="18">
        <f t="shared" si="21"/>
        <v>0</v>
      </c>
      <c r="H42" s="18">
        <f t="shared" si="21"/>
        <v>0</v>
      </c>
      <c r="I42" s="18">
        <f t="shared" si="21"/>
        <v>0</v>
      </c>
      <c r="J42" s="18">
        <f t="shared" si="21"/>
        <v>0</v>
      </c>
      <c r="K42" s="18">
        <f t="shared" si="21"/>
        <v>0</v>
      </c>
      <c r="L42" s="18">
        <f t="shared" si="21"/>
        <v>8000</v>
      </c>
      <c r="M42" s="18">
        <f t="shared" si="21"/>
        <v>0</v>
      </c>
      <c r="N42" s="18">
        <f t="shared" si="21"/>
        <v>0</v>
      </c>
      <c r="O42" s="18">
        <f t="shared" si="22"/>
        <v>0</v>
      </c>
      <c r="P42" s="18">
        <f t="shared" si="22"/>
        <v>0</v>
      </c>
      <c r="Q42" s="18">
        <f t="shared" si="22"/>
        <v>0</v>
      </c>
      <c r="R42" s="18">
        <f t="shared" si="22"/>
        <v>0</v>
      </c>
      <c r="S42" s="18">
        <f t="shared" si="22"/>
        <v>0</v>
      </c>
      <c r="T42" s="18">
        <f t="shared" si="22"/>
        <v>0</v>
      </c>
      <c r="U42" s="18">
        <f t="shared" si="22"/>
        <v>0</v>
      </c>
      <c r="V42" s="18">
        <f t="shared" si="22"/>
        <v>0</v>
      </c>
      <c r="W42" s="18">
        <f t="shared" si="22"/>
        <v>0</v>
      </c>
      <c r="X42" s="18">
        <f t="shared" si="22"/>
        <v>0</v>
      </c>
      <c r="Y42" s="17"/>
      <c r="Z42" s="19"/>
      <c r="AA42" s="19"/>
      <c r="AB42" s="19"/>
      <c r="AC42" s="20"/>
    </row>
    <row r="43" spans="1:29" ht="94.5" customHeight="1" x14ac:dyDescent="0.25">
      <c r="A43" s="21" t="s">
        <v>125</v>
      </c>
      <c r="B43" s="22" t="s">
        <v>126</v>
      </c>
      <c r="C43" s="23" t="s">
        <v>25</v>
      </c>
      <c r="D43" s="23" t="s">
        <v>26</v>
      </c>
      <c r="E43" s="24">
        <f>SUM(E44:E44)+16000</f>
        <v>16000</v>
      </c>
      <c r="F43" s="24">
        <f>SUM(F44:F44)+8000</f>
        <v>8000</v>
      </c>
      <c r="G43" s="24">
        <f>SUM(G44:G44)</f>
        <v>0</v>
      </c>
      <c r="H43" s="24">
        <f>SUM(H44:H44)</f>
        <v>0</v>
      </c>
      <c r="I43" s="24">
        <f>SUM(I44:I44)</f>
        <v>0</v>
      </c>
      <c r="J43" s="24">
        <f>SUM(J44:J44)</f>
        <v>0</v>
      </c>
      <c r="K43" s="24">
        <f>SUM(K44:K44)</f>
        <v>0</v>
      </c>
      <c r="L43" s="24">
        <f>SUM(L44:L44)+8000</f>
        <v>8000</v>
      </c>
      <c r="M43" s="24">
        <f t="shared" ref="M43:X43" si="23">SUM(M44:M44)</f>
        <v>0</v>
      </c>
      <c r="N43" s="24">
        <f t="shared" si="23"/>
        <v>0</v>
      </c>
      <c r="O43" s="24">
        <f t="shared" si="23"/>
        <v>0</v>
      </c>
      <c r="P43" s="24">
        <f t="shared" si="23"/>
        <v>0</v>
      </c>
      <c r="Q43" s="24">
        <f t="shared" si="23"/>
        <v>0</v>
      </c>
      <c r="R43" s="24">
        <f t="shared" si="23"/>
        <v>0</v>
      </c>
      <c r="S43" s="24">
        <f t="shared" si="23"/>
        <v>0</v>
      </c>
      <c r="T43" s="24">
        <f t="shared" si="23"/>
        <v>0</v>
      </c>
      <c r="U43" s="24">
        <f t="shared" si="23"/>
        <v>0</v>
      </c>
      <c r="V43" s="24">
        <f t="shared" si="23"/>
        <v>0</v>
      </c>
      <c r="W43" s="24">
        <f t="shared" si="23"/>
        <v>0</v>
      </c>
      <c r="X43" s="24">
        <f t="shared" si="23"/>
        <v>0</v>
      </c>
      <c r="Y43" s="23" t="s">
        <v>127</v>
      </c>
      <c r="Z43" s="25" t="s">
        <v>34</v>
      </c>
      <c r="AA43" s="25" t="s">
        <v>109</v>
      </c>
      <c r="AB43" s="25" t="s">
        <v>48</v>
      </c>
      <c r="AC43" s="26" t="s">
        <v>128</v>
      </c>
    </row>
    <row r="44" spans="1:29" ht="75.75" customHeight="1" x14ac:dyDescent="0.25">
      <c r="A44" s="21" t="s">
        <v>129</v>
      </c>
      <c r="B44" s="22" t="s">
        <v>130</v>
      </c>
      <c r="C44" s="23"/>
      <c r="D44" s="23" t="s">
        <v>26</v>
      </c>
      <c r="E44" s="27">
        <v>0</v>
      </c>
      <c r="F44" s="27">
        <v>0</v>
      </c>
      <c r="G44" s="27">
        <v>0</v>
      </c>
      <c r="H44" s="27">
        <v>0</v>
      </c>
      <c r="I44" s="27">
        <v>0</v>
      </c>
      <c r="J44" s="27">
        <v>0</v>
      </c>
      <c r="K44" s="27">
        <v>0</v>
      </c>
      <c r="L44" s="27">
        <v>0</v>
      </c>
      <c r="M44" s="27">
        <v>0</v>
      </c>
      <c r="N44" s="27">
        <v>0</v>
      </c>
      <c r="O44" s="27">
        <v>0</v>
      </c>
      <c r="P44" s="27">
        <v>0</v>
      </c>
      <c r="Q44" s="27">
        <v>0</v>
      </c>
      <c r="R44" s="27">
        <v>0</v>
      </c>
      <c r="S44" s="27">
        <v>0</v>
      </c>
      <c r="T44" s="27">
        <v>0</v>
      </c>
      <c r="U44" s="27">
        <v>0</v>
      </c>
      <c r="V44" s="27">
        <v>0</v>
      </c>
      <c r="W44" s="27">
        <v>0</v>
      </c>
      <c r="X44" s="27">
        <v>0</v>
      </c>
      <c r="Y44" s="23"/>
      <c r="Z44" s="25"/>
      <c r="AA44" s="25"/>
      <c r="AB44" s="25"/>
      <c r="AC44" s="26"/>
    </row>
    <row r="45" spans="1:29" ht="51.75" customHeight="1" x14ac:dyDescent="0.25">
      <c r="A45" s="9" t="s">
        <v>131</v>
      </c>
      <c r="B45" s="10" t="s">
        <v>132</v>
      </c>
      <c r="C45" s="11"/>
      <c r="D45" s="11"/>
      <c r="E45" s="12">
        <f t="shared" ref="E45:X45" si="24">SUM(E46:E46)</f>
        <v>31324.75</v>
      </c>
      <c r="F45" s="12">
        <f t="shared" si="24"/>
        <v>27831.75</v>
      </c>
      <c r="G45" s="12">
        <f t="shared" si="24"/>
        <v>0</v>
      </c>
      <c r="H45" s="12">
        <f t="shared" si="24"/>
        <v>0</v>
      </c>
      <c r="I45" s="12">
        <f t="shared" si="24"/>
        <v>0</v>
      </c>
      <c r="J45" s="12">
        <f t="shared" si="24"/>
        <v>0</v>
      </c>
      <c r="K45" s="12">
        <f t="shared" si="24"/>
        <v>0</v>
      </c>
      <c r="L45" s="12">
        <f t="shared" si="24"/>
        <v>3493</v>
      </c>
      <c r="M45" s="12">
        <f t="shared" si="24"/>
        <v>0</v>
      </c>
      <c r="N45" s="12">
        <f t="shared" si="24"/>
        <v>0</v>
      </c>
      <c r="O45" s="12">
        <f t="shared" si="24"/>
        <v>31324.75</v>
      </c>
      <c r="P45" s="12">
        <f t="shared" si="24"/>
        <v>27831.75</v>
      </c>
      <c r="Q45" s="12">
        <f t="shared" si="24"/>
        <v>0</v>
      </c>
      <c r="R45" s="12">
        <f t="shared" si="24"/>
        <v>0</v>
      </c>
      <c r="S45" s="12">
        <f t="shared" si="24"/>
        <v>0</v>
      </c>
      <c r="T45" s="12">
        <f t="shared" si="24"/>
        <v>0</v>
      </c>
      <c r="U45" s="12">
        <f t="shared" si="24"/>
        <v>0</v>
      </c>
      <c r="V45" s="12">
        <f t="shared" si="24"/>
        <v>3493</v>
      </c>
      <c r="W45" s="12">
        <f t="shared" si="24"/>
        <v>0</v>
      </c>
      <c r="X45" s="12">
        <f t="shared" si="24"/>
        <v>0</v>
      </c>
      <c r="Y45" s="11"/>
      <c r="Z45" s="13"/>
      <c r="AA45" s="13"/>
      <c r="AB45" s="13"/>
      <c r="AC45" s="14"/>
    </row>
    <row r="46" spans="1:29" ht="55.5" customHeight="1" x14ac:dyDescent="0.25">
      <c r="A46" s="15" t="s">
        <v>133</v>
      </c>
      <c r="B46" s="16" t="s">
        <v>134</v>
      </c>
      <c r="C46" s="17"/>
      <c r="D46" s="17"/>
      <c r="E46" s="18">
        <f t="shared" ref="E46:X46" si="25">E47+E49</f>
        <v>31324.75</v>
      </c>
      <c r="F46" s="18">
        <f t="shared" si="25"/>
        <v>27831.75</v>
      </c>
      <c r="G46" s="18">
        <f t="shared" si="25"/>
        <v>0</v>
      </c>
      <c r="H46" s="18">
        <f t="shared" si="25"/>
        <v>0</v>
      </c>
      <c r="I46" s="18">
        <f t="shared" si="25"/>
        <v>0</v>
      </c>
      <c r="J46" s="18">
        <f t="shared" si="25"/>
        <v>0</v>
      </c>
      <c r="K46" s="18">
        <f t="shared" si="25"/>
        <v>0</v>
      </c>
      <c r="L46" s="18">
        <f t="shared" si="25"/>
        <v>3493</v>
      </c>
      <c r="M46" s="18">
        <f t="shared" si="25"/>
        <v>0</v>
      </c>
      <c r="N46" s="18">
        <f t="shared" si="25"/>
        <v>0</v>
      </c>
      <c r="O46" s="18">
        <f t="shared" si="25"/>
        <v>31324.75</v>
      </c>
      <c r="P46" s="18">
        <f t="shared" si="25"/>
        <v>27831.75</v>
      </c>
      <c r="Q46" s="18">
        <f t="shared" si="25"/>
        <v>0</v>
      </c>
      <c r="R46" s="18">
        <f t="shared" si="25"/>
        <v>0</v>
      </c>
      <c r="S46" s="18">
        <f t="shared" si="25"/>
        <v>0</v>
      </c>
      <c r="T46" s="18">
        <f t="shared" si="25"/>
        <v>0</v>
      </c>
      <c r="U46" s="18">
        <f t="shared" si="25"/>
        <v>0</v>
      </c>
      <c r="V46" s="18">
        <f t="shared" si="25"/>
        <v>3493</v>
      </c>
      <c r="W46" s="18">
        <f t="shared" si="25"/>
        <v>0</v>
      </c>
      <c r="X46" s="18">
        <f t="shared" si="25"/>
        <v>0</v>
      </c>
      <c r="Y46" s="17"/>
      <c r="Z46" s="19"/>
      <c r="AA46" s="19"/>
      <c r="AB46" s="19"/>
      <c r="AC46" s="20"/>
    </row>
    <row r="47" spans="1:29" ht="51.75" customHeight="1" x14ac:dyDescent="0.25">
      <c r="A47" s="21" t="s">
        <v>135</v>
      </c>
      <c r="B47" s="22" t="s">
        <v>136</v>
      </c>
      <c r="C47" s="23" t="s">
        <v>25</v>
      </c>
      <c r="D47" s="23" t="s">
        <v>26</v>
      </c>
      <c r="E47" s="24">
        <f>SUM(E48:E48)+27000</f>
        <v>27000</v>
      </c>
      <c r="F47" s="24">
        <f>SUM(F48:F48)+27000</f>
        <v>27000</v>
      </c>
      <c r="G47" s="24">
        <f t="shared" ref="G47:N47" si="26">SUM(G48:G48)</f>
        <v>0</v>
      </c>
      <c r="H47" s="24">
        <f t="shared" si="26"/>
        <v>0</v>
      </c>
      <c r="I47" s="24">
        <f t="shared" si="26"/>
        <v>0</v>
      </c>
      <c r="J47" s="24">
        <f t="shared" si="26"/>
        <v>0</v>
      </c>
      <c r="K47" s="24">
        <f t="shared" si="26"/>
        <v>0</v>
      </c>
      <c r="L47" s="24">
        <f t="shared" si="26"/>
        <v>0</v>
      </c>
      <c r="M47" s="24">
        <f t="shared" si="26"/>
        <v>0</v>
      </c>
      <c r="N47" s="24">
        <f t="shared" si="26"/>
        <v>0</v>
      </c>
      <c r="O47" s="24">
        <f>SUM(O48:O48)+27000</f>
        <v>27000</v>
      </c>
      <c r="P47" s="24">
        <f>SUM(P48:P48)+27000</f>
        <v>27000</v>
      </c>
      <c r="Q47" s="24">
        <f t="shared" ref="Q47:X47" si="27">SUM(Q48:Q48)</f>
        <v>0</v>
      </c>
      <c r="R47" s="24">
        <f t="shared" si="27"/>
        <v>0</v>
      </c>
      <c r="S47" s="24">
        <f t="shared" si="27"/>
        <v>0</v>
      </c>
      <c r="T47" s="24">
        <f t="shared" si="27"/>
        <v>0</v>
      </c>
      <c r="U47" s="24">
        <f t="shared" si="27"/>
        <v>0</v>
      </c>
      <c r="V47" s="24">
        <f t="shared" si="27"/>
        <v>0</v>
      </c>
      <c r="W47" s="24">
        <f t="shared" si="27"/>
        <v>0</v>
      </c>
      <c r="X47" s="24">
        <f t="shared" si="27"/>
        <v>0</v>
      </c>
      <c r="Y47" s="23" t="s">
        <v>137</v>
      </c>
      <c r="Z47" s="25" t="s">
        <v>34</v>
      </c>
      <c r="AA47" s="25" t="s">
        <v>84</v>
      </c>
      <c r="AB47" s="25" t="s">
        <v>138</v>
      </c>
      <c r="AC47" s="26"/>
    </row>
    <row r="48" spans="1:29" ht="61.5" customHeight="1" x14ac:dyDescent="0.25">
      <c r="A48" s="21" t="s">
        <v>139</v>
      </c>
      <c r="B48" s="22" t="s">
        <v>140</v>
      </c>
      <c r="C48" s="23"/>
      <c r="D48" s="23" t="s">
        <v>26</v>
      </c>
      <c r="E48" s="27">
        <v>0</v>
      </c>
      <c r="F48" s="27">
        <v>0</v>
      </c>
      <c r="G48" s="27">
        <v>0</v>
      </c>
      <c r="H48" s="27">
        <v>0</v>
      </c>
      <c r="I48" s="27">
        <v>0</v>
      </c>
      <c r="J48" s="27">
        <v>0</v>
      </c>
      <c r="K48" s="27">
        <v>0</v>
      </c>
      <c r="L48" s="27">
        <v>0</v>
      </c>
      <c r="M48" s="27">
        <v>0</v>
      </c>
      <c r="N48" s="27">
        <v>0</v>
      </c>
      <c r="O48" s="27">
        <v>0</v>
      </c>
      <c r="P48" s="27">
        <v>0</v>
      </c>
      <c r="Q48" s="27">
        <v>0</v>
      </c>
      <c r="R48" s="27">
        <v>0</v>
      </c>
      <c r="S48" s="27">
        <v>0</v>
      </c>
      <c r="T48" s="27">
        <v>0</v>
      </c>
      <c r="U48" s="27">
        <v>0</v>
      </c>
      <c r="V48" s="27">
        <v>0</v>
      </c>
      <c r="W48" s="27">
        <v>0</v>
      </c>
      <c r="X48" s="27">
        <v>0</v>
      </c>
      <c r="Y48" s="23"/>
      <c r="Z48" s="25"/>
      <c r="AA48" s="25"/>
      <c r="AB48" s="25"/>
      <c r="AC48" s="26"/>
    </row>
    <row r="49" spans="1:29" ht="83.25" customHeight="1" x14ac:dyDescent="0.25">
      <c r="A49" s="21" t="s">
        <v>141</v>
      </c>
      <c r="B49" s="22" t="s">
        <v>142</v>
      </c>
      <c r="C49" s="23" t="s">
        <v>25</v>
      </c>
      <c r="D49" s="23" t="s">
        <v>26</v>
      </c>
      <c r="E49" s="24">
        <f>SUM(E50:E50)+4324.75</f>
        <v>4324.75</v>
      </c>
      <c r="F49" s="24">
        <f>SUM(F50:F50)+831.75</f>
        <v>831.75</v>
      </c>
      <c r="G49" s="24">
        <f>SUM(G50:G50)</f>
        <v>0</v>
      </c>
      <c r="H49" s="24">
        <f>SUM(H50:H50)</f>
        <v>0</v>
      </c>
      <c r="I49" s="24">
        <f>SUM(I50:I50)</f>
        <v>0</v>
      </c>
      <c r="J49" s="24">
        <f>SUM(J50:J50)</f>
        <v>0</v>
      </c>
      <c r="K49" s="24">
        <f>SUM(K50:K50)</f>
        <v>0</v>
      </c>
      <c r="L49" s="24">
        <f>SUM(L50:L50)+3493</f>
        <v>3493</v>
      </c>
      <c r="M49" s="24">
        <f>SUM(M50:M50)</f>
        <v>0</v>
      </c>
      <c r="N49" s="24">
        <f>SUM(N50:N50)</f>
        <v>0</v>
      </c>
      <c r="O49" s="24">
        <f>SUM(O50:O50)+4324.75</f>
        <v>4324.75</v>
      </c>
      <c r="P49" s="24">
        <f>SUM(P50:P50)+831.75</f>
        <v>831.75</v>
      </c>
      <c r="Q49" s="24">
        <f>SUM(Q50:Q50)</f>
        <v>0</v>
      </c>
      <c r="R49" s="24">
        <f>SUM(R50:R50)</f>
        <v>0</v>
      </c>
      <c r="S49" s="24">
        <f>SUM(S50:S50)</f>
        <v>0</v>
      </c>
      <c r="T49" s="24">
        <f>SUM(T50:T50)</f>
        <v>0</v>
      </c>
      <c r="U49" s="24">
        <f>SUM(U50:U50)</f>
        <v>0</v>
      </c>
      <c r="V49" s="24">
        <f>SUM(V50:V50)+3493</f>
        <v>3493</v>
      </c>
      <c r="W49" s="24">
        <f>SUM(W50:W50)</f>
        <v>0</v>
      </c>
      <c r="X49" s="24">
        <f>SUM(X50:X50)</f>
        <v>0</v>
      </c>
      <c r="Y49" s="23" t="s">
        <v>143</v>
      </c>
      <c r="Z49" s="25" t="s">
        <v>34</v>
      </c>
      <c r="AA49" s="25" t="s">
        <v>42</v>
      </c>
      <c r="AB49" s="25" t="s">
        <v>42</v>
      </c>
      <c r="AC49" s="26"/>
    </row>
    <row r="50" spans="1:29" ht="50.25" customHeight="1" x14ac:dyDescent="0.25">
      <c r="A50" s="21" t="s">
        <v>144</v>
      </c>
      <c r="B50" s="22" t="s">
        <v>145</v>
      </c>
      <c r="C50" s="23"/>
      <c r="D50" s="23" t="s">
        <v>26</v>
      </c>
      <c r="E50" s="27">
        <v>0</v>
      </c>
      <c r="F50" s="27">
        <v>0</v>
      </c>
      <c r="G50" s="27">
        <v>0</v>
      </c>
      <c r="H50" s="27">
        <v>0</v>
      </c>
      <c r="I50" s="27">
        <v>0</v>
      </c>
      <c r="J50" s="27">
        <v>0</v>
      </c>
      <c r="K50" s="27">
        <v>0</v>
      </c>
      <c r="L50" s="27">
        <v>0</v>
      </c>
      <c r="M50" s="27">
        <v>0</v>
      </c>
      <c r="N50" s="27">
        <v>0</v>
      </c>
      <c r="O50" s="27">
        <v>0</v>
      </c>
      <c r="P50" s="27">
        <v>0</v>
      </c>
      <c r="Q50" s="27">
        <v>0</v>
      </c>
      <c r="R50" s="27">
        <v>0</v>
      </c>
      <c r="S50" s="27">
        <v>0</v>
      </c>
      <c r="T50" s="27">
        <v>0</v>
      </c>
      <c r="U50" s="27">
        <v>0</v>
      </c>
      <c r="V50" s="27">
        <v>0</v>
      </c>
      <c r="W50" s="27">
        <v>0</v>
      </c>
      <c r="X50" s="27">
        <v>0</v>
      </c>
      <c r="Y50" s="23"/>
      <c r="Z50" s="25"/>
      <c r="AA50" s="25"/>
      <c r="AB50" s="25"/>
      <c r="AC50" s="26"/>
    </row>
    <row r="51" spans="1:29" ht="50.25" customHeight="1" x14ac:dyDescent="0.25">
      <c r="A51" s="9" t="s">
        <v>146</v>
      </c>
      <c r="B51" s="10" t="s">
        <v>147</v>
      </c>
      <c r="C51" s="11" t="s">
        <v>148</v>
      </c>
      <c r="D51" s="11" t="s">
        <v>149</v>
      </c>
      <c r="E51" s="12">
        <f t="shared" ref="E51:N52" si="28">SUM(E52:E52)</f>
        <v>15040</v>
      </c>
      <c r="F51" s="12">
        <f t="shared" si="28"/>
        <v>15040</v>
      </c>
      <c r="G51" s="12">
        <f t="shared" si="28"/>
        <v>0</v>
      </c>
      <c r="H51" s="12">
        <f t="shared" si="28"/>
        <v>0</v>
      </c>
      <c r="I51" s="12">
        <f t="shared" si="28"/>
        <v>0</v>
      </c>
      <c r="J51" s="12">
        <f t="shared" si="28"/>
        <v>0</v>
      </c>
      <c r="K51" s="12">
        <f t="shared" si="28"/>
        <v>0</v>
      </c>
      <c r="L51" s="12">
        <f t="shared" si="28"/>
        <v>0</v>
      </c>
      <c r="M51" s="12">
        <f t="shared" si="28"/>
        <v>0</v>
      </c>
      <c r="N51" s="12">
        <f t="shared" si="28"/>
        <v>0</v>
      </c>
      <c r="O51" s="12">
        <f t="shared" ref="O51:X52" si="29">SUM(O52:O52)</f>
        <v>15015.92</v>
      </c>
      <c r="P51" s="12">
        <f t="shared" si="29"/>
        <v>15015.92</v>
      </c>
      <c r="Q51" s="12">
        <f t="shared" si="29"/>
        <v>0</v>
      </c>
      <c r="R51" s="12">
        <f t="shared" si="29"/>
        <v>0</v>
      </c>
      <c r="S51" s="12">
        <f t="shared" si="29"/>
        <v>0</v>
      </c>
      <c r="T51" s="12">
        <f t="shared" si="29"/>
        <v>0</v>
      </c>
      <c r="U51" s="12">
        <f t="shared" si="29"/>
        <v>0</v>
      </c>
      <c r="V51" s="12">
        <f t="shared" si="29"/>
        <v>0</v>
      </c>
      <c r="W51" s="12">
        <f t="shared" si="29"/>
        <v>0</v>
      </c>
      <c r="X51" s="12">
        <f t="shared" si="29"/>
        <v>0</v>
      </c>
      <c r="Y51" s="11"/>
      <c r="Z51" s="13"/>
      <c r="AA51" s="13"/>
      <c r="AB51" s="13"/>
      <c r="AC51" s="14"/>
    </row>
    <row r="52" spans="1:29" ht="50.25" customHeight="1" x14ac:dyDescent="0.25">
      <c r="A52" s="15" t="s">
        <v>150</v>
      </c>
      <c r="B52" s="16" t="s">
        <v>151</v>
      </c>
      <c r="C52" s="17" t="s">
        <v>148</v>
      </c>
      <c r="D52" s="17" t="s">
        <v>149</v>
      </c>
      <c r="E52" s="18">
        <f t="shared" si="28"/>
        <v>15040</v>
      </c>
      <c r="F52" s="18">
        <f t="shared" si="28"/>
        <v>15040</v>
      </c>
      <c r="G52" s="18">
        <f t="shared" si="28"/>
        <v>0</v>
      </c>
      <c r="H52" s="18">
        <f t="shared" si="28"/>
        <v>0</v>
      </c>
      <c r="I52" s="18">
        <f t="shared" si="28"/>
        <v>0</v>
      </c>
      <c r="J52" s="18">
        <f t="shared" si="28"/>
        <v>0</v>
      </c>
      <c r="K52" s="18">
        <f t="shared" si="28"/>
        <v>0</v>
      </c>
      <c r="L52" s="18">
        <f t="shared" si="28"/>
        <v>0</v>
      </c>
      <c r="M52" s="18">
        <f t="shared" si="28"/>
        <v>0</v>
      </c>
      <c r="N52" s="18">
        <f t="shared" si="28"/>
        <v>0</v>
      </c>
      <c r="O52" s="18">
        <f t="shared" si="29"/>
        <v>15015.92</v>
      </c>
      <c r="P52" s="18">
        <f t="shared" si="29"/>
        <v>15015.92</v>
      </c>
      <c r="Q52" s="18">
        <f t="shared" si="29"/>
        <v>0</v>
      </c>
      <c r="R52" s="18">
        <f t="shared" si="29"/>
        <v>0</v>
      </c>
      <c r="S52" s="18">
        <f t="shared" si="29"/>
        <v>0</v>
      </c>
      <c r="T52" s="18">
        <f t="shared" si="29"/>
        <v>0</v>
      </c>
      <c r="U52" s="18">
        <f t="shared" si="29"/>
        <v>0</v>
      </c>
      <c r="V52" s="18">
        <f t="shared" si="29"/>
        <v>0</v>
      </c>
      <c r="W52" s="18">
        <f t="shared" si="29"/>
        <v>0</v>
      </c>
      <c r="X52" s="18">
        <f t="shared" si="29"/>
        <v>0</v>
      </c>
      <c r="Y52" s="17"/>
      <c r="Z52" s="19"/>
      <c r="AA52" s="19"/>
      <c r="AB52" s="19"/>
      <c r="AC52" s="20"/>
    </row>
    <row r="53" spans="1:29" ht="40.5" x14ac:dyDescent="0.25">
      <c r="A53" s="21" t="s">
        <v>152</v>
      </c>
      <c r="B53" s="22" t="s">
        <v>153</v>
      </c>
      <c r="C53" s="23" t="s">
        <v>148</v>
      </c>
      <c r="D53" s="23" t="s">
        <v>149</v>
      </c>
      <c r="E53" s="24">
        <f>SUM(E54:E62)+15040</f>
        <v>15040</v>
      </c>
      <c r="F53" s="24">
        <f>SUM(F54:F62)+15040</f>
        <v>15040</v>
      </c>
      <c r="G53" s="24">
        <f t="shared" ref="G53:N53" si="30">SUM(G54:G62)</f>
        <v>0</v>
      </c>
      <c r="H53" s="24">
        <f t="shared" si="30"/>
        <v>0</v>
      </c>
      <c r="I53" s="24">
        <f t="shared" si="30"/>
        <v>0</v>
      </c>
      <c r="J53" s="24">
        <f t="shared" si="30"/>
        <v>0</v>
      </c>
      <c r="K53" s="24">
        <f t="shared" si="30"/>
        <v>0</v>
      </c>
      <c r="L53" s="24">
        <f t="shared" si="30"/>
        <v>0</v>
      </c>
      <c r="M53" s="24">
        <f t="shared" si="30"/>
        <v>0</v>
      </c>
      <c r="N53" s="24">
        <f t="shared" si="30"/>
        <v>0</v>
      </c>
      <c r="O53" s="24">
        <f>SUM(O54:O62)+15015.92</f>
        <v>15015.92</v>
      </c>
      <c r="P53" s="24">
        <f>SUM(P54:P62)+15015.92</f>
        <v>15015.92</v>
      </c>
      <c r="Q53" s="24">
        <f t="shared" ref="Q53:X53" si="31">SUM(Q54:Q62)</f>
        <v>0</v>
      </c>
      <c r="R53" s="24">
        <f t="shared" si="31"/>
        <v>0</v>
      </c>
      <c r="S53" s="24">
        <f t="shared" si="31"/>
        <v>0</v>
      </c>
      <c r="T53" s="24">
        <f t="shared" si="31"/>
        <v>0</v>
      </c>
      <c r="U53" s="24">
        <f t="shared" si="31"/>
        <v>0</v>
      </c>
      <c r="V53" s="24">
        <f t="shared" si="31"/>
        <v>0</v>
      </c>
      <c r="W53" s="24">
        <f t="shared" si="31"/>
        <v>0</v>
      </c>
      <c r="X53" s="24">
        <f t="shared" si="31"/>
        <v>0</v>
      </c>
      <c r="Y53" s="23" t="s">
        <v>154</v>
      </c>
      <c r="Z53" s="25" t="s">
        <v>34</v>
      </c>
      <c r="AA53" s="25" t="s">
        <v>109</v>
      </c>
      <c r="AB53" s="25" t="s">
        <v>109</v>
      </c>
      <c r="AC53" s="26"/>
    </row>
    <row r="54" spans="1:29" ht="40.5" x14ac:dyDescent="0.25">
      <c r="A54" s="28"/>
      <c r="B54" s="29"/>
      <c r="C54" s="30"/>
      <c r="D54" s="30"/>
      <c r="E54" s="31">
        <v>0</v>
      </c>
      <c r="F54" s="31">
        <v>0</v>
      </c>
      <c r="G54" s="31">
        <v>0</v>
      </c>
      <c r="H54" s="31">
        <v>0</v>
      </c>
      <c r="I54" s="31">
        <v>0</v>
      </c>
      <c r="J54" s="31">
        <v>0</v>
      </c>
      <c r="K54" s="31">
        <v>0</v>
      </c>
      <c r="L54" s="31">
        <v>0</v>
      </c>
      <c r="M54" s="31">
        <v>0</v>
      </c>
      <c r="N54" s="31">
        <v>0</v>
      </c>
      <c r="O54" s="31">
        <v>0</v>
      </c>
      <c r="P54" s="31">
        <v>0</v>
      </c>
      <c r="Q54" s="31">
        <v>0</v>
      </c>
      <c r="R54" s="31">
        <v>0</v>
      </c>
      <c r="S54" s="31">
        <v>0</v>
      </c>
      <c r="T54" s="31">
        <v>0</v>
      </c>
      <c r="U54" s="31">
        <v>0</v>
      </c>
      <c r="V54" s="31">
        <v>0</v>
      </c>
      <c r="W54" s="31">
        <v>0</v>
      </c>
      <c r="X54" s="31">
        <v>0</v>
      </c>
      <c r="Y54" s="30" t="s">
        <v>155</v>
      </c>
      <c r="Z54" s="32" t="s">
        <v>34</v>
      </c>
      <c r="AA54" s="32" t="s">
        <v>109</v>
      </c>
      <c r="AB54" s="32" t="s">
        <v>109</v>
      </c>
      <c r="AC54" s="33"/>
    </row>
    <row r="55" spans="1:29" ht="40.5" x14ac:dyDescent="0.25">
      <c r="A55" s="28"/>
      <c r="B55" s="29"/>
      <c r="C55" s="30"/>
      <c r="D55" s="30"/>
      <c r="E55" s="31">
        <v>0</v>
      </c>
      <c r="F55" s="31">
        <v>0</v>
      </c>
      <c r="G55" s="31">
        <v>0</v>
      </c>
      <c r="H55" s="31">
        <v>0</v>
      </c>
      <c r="I55" s="31">
        <v>0</v>
      </c>
      <c r="J55" s="31">
        <v>0</v>
      </c>
      <c r="K55" s="31">
        <v>0</v>
      </c>
      <c r="L55" s="31">
        <v>0</v>
      </c>
      <c r="M55" s="31">
        <v>0</v>
      </c>
      <c r="N55" s="31">
        <v>0</v>
      </c>
      <c r="O55" s="31">
        <v>0</v>
      </c>
      <c r="P55" s="31">
        <v>0</v>
      </c>
      <c r="Q55" s="31">
        <v>0</v>
      </c>
      <c r="R55" s="31">
        <v>0</v>
      </c>
      <c r="S55" s="31">
        <v>0</v>
      </c>
      <c r="T55" s="31">
        <v>0</v>
      </c>
      <c r="U55" s="31">
        <v>0</v>
      </c>
      <c r="V55" s="31">
        <v>0</v>
      </c>
      <c r="W55" s="31">
        <v>0</v>
      </c>
      <c r="X55" s="31">
        <v>0</v>
      </c>
      <c r="Y55" s="30" t="s">
        <v>156</v>
      </c>
      <c r="Z55" s="32" t="s">
        <v>34</v>
      </c>
      <c r="AA55" s="32" t="s">
        <v>109</v>
      </c>
      <c r="AB55" s="32" t="s">
        <v>42</v>
      </c>
      <c r="AC55" s="33" t="s">
        <v>157</v>
      </c>
    </row>
    <row r="56" spans="1:29" ht="40.5" x14ac:dyDescent="0.25">
      <c r="A56" s="28"/>
      <c r="B56" s="29"/>
      <c r="C56" s="30"/>
      <c r="D56" s="30"/>
      <c r="E56" s="31">
        <v>0</v>
      </c>
      <c r="F56" s="31">
        <v>0</v>
      </c>
      <c r="G56" s="31">
        <v>0</v>
      </c>
      <c r="H56" s="31">
        <v>0</v>
      </c>
      <c r="I56" s="31">
        <v>0</v>
      </c>
      <c r="J56" s="31">
        <v>0</v>
      </c>
      <c r="K56" s="31">
        <v>0</v>
      </c>
      <c r="L56" s="31">
        <v>0</v>
      </c>
      <c r="M56" s="31">
        <v>0</v>
      </c>
      <c r="N56" s="31">
        <v>0</v>
      </c>
      <c r="O56" s="31">
        <v>0</v>
      </c>
      <c r="P56" s="31">
        <v>0</v>
      </c>
      <c r="Q56" s="31">
        <v>0</v>
      </c>
      <c r="R56" s="31">
        <v>0</v>
      </c>
      <c r="S56" s="31">
        <v>0</v>
      </c>
      <c r="T56" s="31">
        <v>0</v>
      </c>
      <c r="U56" s="31">
        <v>0</v>
      </c>
      <c r="V56" s="31">
        <v>0</v>
      </c>
      <c r="W56" s="31">
        <v>0</v>
      </c>
      <c r="X56" s="31">
        <v>0</v>
      </c>
      <c r="Y56" s="30" t="s">
        <v>158</v>
      </c>
      <c r="Z56" s="32" t="s">
        <v>34</v>
      </c>
      <c r="AA56" s="32" t="s">
        <v>159</v>
      </c>
      <c r="AB56" s="32" t="s">
        <v>159</v>
      </c>
      <c r="AC56" s="33"/>
    </row>
    <row r="57" spans="1:29" ht="40.5" x14ac:dyDescent="0.25">
      <c r="A57" s="28"/>
      <c r="B57" s="29"/>
      <c r="C57" s="30"/>
      <c r="D57" s="30"/>
      <c r="E57" s="31">
        <v>0</v>
      </c>
      <c r="F57" s="31">
        <v>0</v>
      </c>
      <c r="G57" s="31">
        <v>0</v>
      </c>
      <c r="H57" s="31">
        <v>0</v>
      </c>
      <c r="I57" s="31">
        <v>0</v>
      </c>
      <c r="J57" s="31">
        <v>0</v>
      </c>
      <c r="K57" s="31">
        <v>0</v>
      </c>
      <c r="L57" s="31">
        <v>0</v>
      </c>
      <c r="M57" s="31">
        <v>0</v>
      </c>
      <c r="N57" s="31">
        <v>0</v>
      </c>
      <c r="O57" s="31">
        <v>0</v>
      </c>
      <c r="P57" s="31">
        <v>0</v>
      </c>
      <c r="Q57" s="31">
        <v>0</v>
      </c>
      <c r="R57" s="31">
        <v>0</v>
      </c>
      <c r="S57" s="31">
        <v>0</v>
      </c>
      <c r="T57" s="31">
        <v>0</v>
      </c>
      <c r="U57" s="31">
        <v>0</v>
      </c>
      <c r="V57" s="31">
        <v>0</v>
      </c>
      <c r="W57" s="31">
        <v>0</v>
      </c>
      <c r="X57" s="31">
        <v>0</v>
      </c>
      <c r="Y57" s="30" t="s">
        <v>160</v>
      </c>
      <c r="Z57" s="32" t="s">
        <v>34</v>
      </c>
      <c r="AA57" s="32" t="s">
        <v>79</v>
      </c>
      <c r="AB57" s="32" t="s">
        <v>161</v>
      </c>
      <c r="AC57" s="33" t="s">
        <v>162</v>
      </c>
    </row>
    <row r="58" spans="1:29" ht="40.5" x14ac:dyDescent="0.25">
      <c r="A58" s="28"/>
      <c r="B58" s="29"/>
      <c r="C58" s="30"/>
      <c r="D58" s="30"/>
      <c r="E58" s="31">
        <v>0</v>
      </c>
      <c r="F58" s="31">
        <v>0</v>
      </c>
      <c r="G58" s="31">
        <v>0</v>
      </c>
      <c r="H58" s="31">
        <v>0</v>
      </c>
      <c r="I58" s="31">
        <v>0</v>
      </c>
      <c r="J58" s="31">
        <v>0</v>
      </c>
      <c r="K58" s="31">
        <v>0</v>
      </c>
      <c r="L58" s="31">
        <v>0</v>
      </c>
      <c r="M58" s="31">
        <v>0</v>
      </c>
      <c r="N58" s="31">
        <v>0</v>
      </c>
      <c r="O58" s="31">
        <v>0</v>
      </c>
      <c r="P58" s="31">
        <v>0</v>
      </c>
      <c r="Q58" s="31">
        <v>0</v>
      </c>
      <c r="R58" s="31">
        <v>0</v>
      </c>
      <c r="S58" s="31">
        <v>0</v>
      </c>
      <c r="T58" s="31">
        <v>0</v>
      </c>
      <c r="U58" s="31">
        <v>0</v>
      </c>
      <c r="V58" s="31">
        <v>0</v>
      </c>
      <c r="W58" s="31">
        <v>0</v>
      </c>
      <c r="X58" s="31">
        <v>0</v>
      </c>
      <c r="Y58" s="30" t="s">
        <v>163</v>
      </c>
      <c r="Z58" s="32" t="s">
        <v>34</v>
      </c>
      <c r="AA58" s="32" t="s">
        <v>164</v>
      </c>
      <c r="AB58" s="32" t="s">
        <v>165</v>
      </c>
      <c r="AC58" s="33" t="s">
        <v>166</v>
      </c>
    </row>
    <row r="59" spans="1:29" ht="33.75" customHeight="1" x14ac:dyDescent="0.25">
      <c r="A59" s="28"/>
      <c r="B59" s="29"/>
      <c r="C59" s="30"/>
      <c r="D59" s="30"/>
      <c r="E59" s="31">
        <v>0</v>
      </c>
      <c r="F59" s="31">
        <v>0</v>
      </c>
      <c r="G59" s="31">
        <v>0</v>
      </c>
      <c r="H59" s="31">
        <v>0</v>
      </c>
      <c r="I59" s="31">
        <v>0</v>
      </c>
      <c r="J59" s="31">
        <v>0</v>
      </c>
      <c r="K59" s="31">
        <v>0</v>
      </c>
      <c r="L59" s="31">
        <v>0</v>
      </c>
      <c r="M59" s="31">
        <v>0</v>
      </c>
      <c r="N59" s="31">
        <v>0</v>
      </c>
      <c r="O59" s="31">
        <v>0</v>
      </c>
      <c r="P59" s="31">
        <v>0</v>
      </c>
      <c r="Q59" s="31">
        <v>0</v>
      </c>
      <c r="R59" s="31">
        <v>0</v>
      </c>
      <c r="S59" s="31">
        <v>0</v>
      </c>
      <c r="T59" s="31">
        <v>0</v>
      </c>
      <c r="U59" s="31">
        <v>0</v>
      </c>
      <c r="V59" s="31">
        <v>0</v>
      </c>
      <c r="W59" s="31">
        <v>0</v>
      </c>
      <c r="X59" s="31">
        <v>0</v>
      </c>
      <c r="Y59" s="30" t="s">
        <v>167</v>
      </c>
      <c r="Z59" s="32" t="s">
        <v>34</v>
      </c>
      <c r="AA59" s="32" t="s">
        <v>168</v>
      </c>
      <c r="AB59" s="32" t="s">
        <v>168</v>
      </c>
      <c r="AC59" s="33"/>
    </row>
    <row r="60" spans="1:29" ht="128.25" customHeight="1" x14ac:dyDescent="0.25">
      <c r="A60" s="21" t="s">
        <v>169</v>
      </c>
      <c r="B60" s="22" t="s">
        <v>170</v>
      </c>
      <c r="C60" s="23" t="s">
        <v>148</v>
      </c>
      <c r="D60" s="23" t="s">
        <v>149</v>
      </c>
      <c r="E60" s="27">
        <v>0</v>
      </c>
      <c r="F60" s="27">
        <v>0</v>
      </c>
      <c r="G60" s="27">
        <v>0</v>
      </c>
      <c r="H60" s="27">
        <v>0</v>
      </c>
      <c r="I60" s="27">
        <v>0</v>
      </c>
      <c r="J60" s="27">
        <v>0</v>
      </c>
      <c r="K60" s="27">
        <v>0</v>
      </c>
      <c r="L60" s="27">
        <v>0</v>
      </c>
      <c r="M60" s="27">
        <v>0</v>
      </c>
      <c r="N60" s="27">
        <v>0</v>
      </c>
      <c r="O60" s="27">
        <v>0</v>
      </c>
      <c r="P60" s="27">
        <v>0</v>
      </c>
      <c r="Q60" s="27">
        <v>0</v>
      </c>
      <c r="R60" s="27">
        <v>0</v>
      </c>
      <c r="S60" s="27">
        <v>0</v>
      </c>
      <c r="T60" s="27">
        <v>0</v>
      </c>
      <c r="U60" s="27">
        <v>0</v>
      </c>
      <c r="V60" s="27">
        <v>0</v>
      </c>
      <c r="W60" s="27">
        <v>0</v>
      </c>
      <c r="X60" s="27">
        <v>0</v>
      </c>
      <c r="Y60" s="23"/>
      <c r="Z60" s="25"/>
      <c r="AA60" s="25"/>
      <c r="AB60" s="25"/>
      <c r="AC60" s="26"/>
    </row>
    <row r="61" spans="1:29" ht="112.5" customHeight="1" x14ac:dyDescent="0.25">
      <c r="A61" s="21" t="s">
        <v>171</v>
      </c>
      <c r="B61" s="22" t="s">
        <v>172</v>
      </c>
      <c r="C61" s="23" t="s">
        <v>148</v>
      </c>
      <c r="D61" s="23" t="s">
        <v>149</v>
      </c>
      <c r="E61" s="27">
        <v>0</v>
      </c>
      <c r="F61" s="27">
        <v>0</v>
      </c>
      <c r="G61" s="27">
        <v>0</v>
      </c>
      <c r="H61" s="27">
        <v>0</v>
      </c>
      <c r="I61" s="27">
        <v>0</v>
      </c>
      <c r="J61" s="27">
        <v>0</v>
      </c>
      <c r="K61" s="27">
        <v>0</v>
      </c>
      <c r="L61" s="27">
        <v>0</v>
      </c>
      <c r="M61" s="27">
        <v>0</v>
      </c>
      <c r="N61" s="27">
        <v>0</v>
      </c>
      <c r="O61" s="27">
        <v>0</v>
      </c>
      <c r="P61" s="27">
        <v>0</v>
      </c>
      <c r="Q61" s="27">
        <v>0</v>
      </c>
      <c r="R61" s="27">
        <v>0</v>
      </c>
      <c r="S61" s="27">
        <v>0</v>
      </c>
      <c r="T61" s="27">
        <v>0</v>
      </c>
      <c r="U61" s="27">
        <v>0</v>
      </c>
      <c r="V61" s="27">
        <v>0</v>
      </c>
      <c r="W61" s="27">
        <v>0</v>
      </c>
      <c r="X61" s="27">
        <v>0</v>
      </c>
      <c r="Y61" s="23"/>
      <c r="Z61" s="25"/>
      <c r="AA61" s="25"/>
      <c r="AB61" s="25"/>
      <c r="AC61" s="26"/>
    </row>
    <row r="62" spans="1:29" ht="87" customHeight="1" x14ac:dyDescent="0.25">
      <c r="A62" s="21" t="s">
        <v>173</v>
      </c>
      <c r="B62" s="22" t="s">
        <v>174</v>
      </c>
      <c r="C62" s="23" t="s">
        <v>148</v>
      </c>
      <c r="D62" s="23" t="s">
        <v>149</v>
      </c>
      <c r="E62" s="27">
        <v>0</v>
      </c>
      <c r="F62" s="27">
        <v>0</v>
      </c>
      <c r="G62" s="27">
        <v>0</v>
      </c>
      <c r="H62" s="27">
        <v>0</v>
      </c>
      <c r="I62" s="27">
        <v>0</v>
      </c>
      <c r="J62" s="27">
        <v>0</v>
      </c>
      <c r="K62" s="27">
        <v>0</v>
      </c>
      <c r="L62" s="27">
        <v>0</v>
      </c>
      <c r="M62" s="27">
        <v>0</v>
      </c>
      <c r="N62" s="27">
        <v>0</v>
      </c>
      <c r="O62" s="27">
        <v>0</v>
      </c>
      <c r="P62" s="27">
        <v>0</v>
      </c>
      <c r="Q62" s="27">
        <v>0</v>
      </c>
      <c r="R62" s="27">
        <v>0</v>
      </c>
      <c r="S62" s="27">
        <v>0</v>
      </c>
      <c r="T62" s="27">
        <v>0</v>
      </c>
      <c r="U62" s="27">
        <v>0</v>
      </c>
      <c r="V62" s="27">
        <v>0</v>
      </c>
      <c r="W62" s="27">
        <v>0</v>
      </c>
      <c r="X62" s="27">
        <v>0</v>
      </c>
      <c r="Y62" s="23"/>
      <c r="Z62" s="25"/>
      <c r="AA62" s="25"/>
      <c r="AB62" s="25"/>
      <c r="AC62" s="26"/>
    </row>
    <row r="63" spans="1:29" ht="65.25" customHeight="1" x14ac:dyDescent="0.25">
      <c r="A63" s="3" t="s">
        <v>175</v>
      </c>
      <c r="B63" s="4" t="s">
        <v>176</v>
      </c>
      <c r="C63" s="5" t="s">
        <v>177</v>
      </c>
      <c r="D63" s="5" t="s">
        <v>178</v>
      </c>
      <c r="E63" s="6">
        <f t="shared" ref="E63:X63" si="32">E64+E92+E99+E122+E141+E186+E192+E202+E216+E227+E231+E238+E242+E262</f>
        <v>4564568.01</v>
      </c>
      <c r="F63" s="6">
        <f t="shared" si="32"/>
        <v>446195</v>
      </c>
      <c r="G63" s="6">
        <f t="shared" si="32"/>
        <v>0</v>
      </c>
      <c r="H63" s="6">
        <f t="shared" si="32"/>
        <v>0</v>
      </c>
      <c r="I63" s="6">
        <f t="shared" si="32"/>
        <v>0</v>
      </c>
      <c r="J63" s="6">
        <f t="shared" si="32"/>
        <v>618223.05000000005</v>
      </c>
      <c r="K63" s="6">
        <f t="shared" si="32"/>
        <v>2544512.36</v>
      </c>
      <c r="L63" s="6">
        <f t="shared" si="32"/>
        <v>427735.6</v>
      </c>
      <c r="M63" s="6">
        <f t="shared" si="32"/>
        <v>0</v>
      </c>
      <c r="N63" s="6">
        <f t="shared" si="32"/>
        <v>527902</v>
      </c>
      <c r="O63" s="6">
        <f t="shared" si="32"/>
        <v>3782916.6900000004</v>
      </c>
      <c r="P63" s="6">
        <f t="shared" si="32"/>
        <v>467163.70999999996</v>
      </c>
      <c r="Q63" s="6">
        <f t="shared" si="32"/>
        <v>0</v>
      </c>
      <c r="R63" s="6">
        <f t="shared" si="32"/>
        <v>0</v>
      </c>
      <c r="S63" s="6">
        <f t="shared" si="32"/>
        <v>0</v>
      </c>
      <c r="T63" s="6">
        <f t="shared" si="32"/>
        <v>530532.24</v>
      </c>
      <c r="U63" s="6">
        <f t="shared" si="32"/>
        <v>2369014.4000000004</v>
      </c>
      <c r="V63" s="6">
        <f t="shared" si="32"/>
        <v>416206.34</v>
      </c>
      <c r="W63" s="6">
        <f t="shared" si="32"/>
        <v>0</v>
      </c>
      <c r="X63" s="6">
        <f t="shared" si="32"/>
        <v>0</v>
      </c>
      <c r="Y63" s="5"/>
      <c r="Z63" s="7"/>
      <c r="AA63" s="7"/>
      <c r="AB63" s="7"/>
      <c r="AC63" s="8"/>
    </row>
    <row r="64" spans="1:29" ht="55.5" customHeight="1" x14ac:dyDescent="0.25">
      <c r="A64" s="9" t="s">
        <v>179</v>
      </c>
      <c r="B64" s="10" t="s">
        <v>180</v>
      </c>
      <c r="C64" s="11"/>
      <c r="D64" s="11"/>
      <c r="E64" s="12">
        <f t="shared" ref="E64:X64" si="33">E65+E74+E87</f>
        <v>138989.66999999998</v>
      </c>
      <c r="F64" s="12">
        <f t="shared" si="33"/>
        <v>42637</v>
      </c>
      <c r="G64" s="12">
        <f t="shared" si="33"/>
        <v>0</v>
      </c>
      <c r="H64" s="12">
        <f t="shared" si="33"/>
        <v>0</v>
      </c>
      <c r="I64" s="12">
        <f t="shared" si="33"/>
        <v>0</v>
      </c>
      <c r="J64" s="12">
        <f t="shared" si="33"/>
        <v>8404</v>
      </c>
      <c r="K64" s="12">
        <f t="shared" si="33"/>
        <v>82689.17</v>
      </c>
      <c r="L64" s="12">
        <f t="shared" si="33"/>
        <v>5259.5</v>
      </c>
      <c r="M64" s="12">
        <f t="shared" si="33"/>
        <v>0</v>
      </c>
      <c r="N64" s="12">
        <f t="shared" si="33"/>
        <v>0</v>
      </c>
      <c r="O64" s="12">
        <f t="shared" si="33"/>
        <v>63754.8</v>
      </c>
      <c r="P64" s="12">
        <f t="shared" si="33"/>
        <v>36782.28</v>
      </c>
      <c r="Q64" s="12">
        <f t="shared" si="33"/>
        <v>0</v>
      </c>
      <c r="R64" s="12">
        <f t="shared" si="33"/>
        <v>0</v>
      </c>
      <c r="S64" s="12">
        <f t="shared" si="33"/>
        <v>0</v>
      </c>
      <c r="T64" s="12">
        <f t="shared" si="33"/>
        <v>8403.4500000000007</v>
      </c>
      <c r="U64" s="12">
        <f t="shared" si="33"/>
        <v>18569.07</v>
      </c>
      <c r="V64" s="12">
        <f t="shared" si="33"/>
        <v>0</v>
      </c>
      <c r="W64" s="12">
        <f t="shared" si="33"/>
        <v>0</v>
      </c>
      <c r="X64" s="12">
        <f t="shared" si="33"/>
        <v>0</v>
      </c>
      <c r="Y64" s="11"/>
      <c r="Z64" s="13"/>
      <c r="AA64" s="13"/>
      <c r="AB64" s="13"/>
      <c r="AC64" s="14"/>
    </row>
    <row r="65" spans="1:29" ht="81" x14ac:dyDescent="0.25">
      <c r="A65" s="15" t="s">
        <v>181</v>
      </c>
      <c r="B65" s="16" t="s">
        <v>182</v>
      </c>
      <c r="C65" s="17"/>
      <c r="D65" s="17"/>
      <c r="E65" s="18">
        <f t="shared" ref="E65:X65" si="34">E66+E68+E70+E72</f>
        <v>115868.67</v>
      </c>
      <c r="F65" s="18">
        <f t="shared" si="34"/>
        <v>27920</v>
      </c>
      <c r="G65" s="18">
        <f t="shared" si="34"/>
        <v>0</v>
      </c>
      <c r="H65" s="18">
        <f t="shared" si="34"/>
        <v>0</v>
      </c>
      <c r="I65" s="18">
        <f t="shared" si="34"/>
        <v>0</v>
      </c>
      <c r="J65" s="18">
        <f t="shared" si="34"/>
        <v>0</v>
      </c>
      <c r="K65" s="18">
        <f t="shared" si="34"/>
        <v>82689.17</v>
      </c>
      <c r="L65" s="18">
        <f t="shared" si="34"/>
        <v>5259.5</v>
      </c>
      <c r="M65" s="18">
        <f t="shared" si="34"/>
        <v>0</v>
      </c>
      <c r="N65" s="18">
        <f t="shared" si="34"/>
        <v>0</v>
      </c>
      <c r="O65" s="18">
        <f t="shared" si="34"/>
        <v>40634.350000000006</v>
      </c>
      <c r="P65" s="18">
        <f t="shared" si="34"/>
        <v>22065.279999999999</v>
      </c>
      <c r="Q65" s="18">
        <f t="shared" si="34"/>
        <v>0</v>
      </c>
      <c r="R65" s="18">
        <f t="shared" si="34"/>
        <v>0</v>
      </c>
      <c r="S65" s="18">
        <f t="shared" si="34"/>
        <v>0</v>
      </c>
      <c r="T65" s="18">
        <f t="shared" si="34"/>
        <v>0</v>
      </c>
      <c r="U65" s="18">
        <f t="shared" si="34"/>
        <v>18569.07</v>
      </c>
      <c r="V65" s="18">
        <f t="shared" si="34"/>
        <v>0</v>
      </c>
      <c r="W65" s="18">
        <f t="shared" si="34"/>
        <v>0</v>
      </c>
      <c r="X65" s="18">
        <f t="shared" si="34"/>
        <v>0</v>
      </c>
      <c r="Y65" s="17"/>
      <c r="Z65" s="19"/>
      <c r="AA65" s="19"/>
      <c r="AB65" s="19"/>
      <c r="AC65" s="20"/>
    </row>
    <row r="66" spans="1:29" ht="59.25" customHeight="1" x14ac:dyDescent="0.25">
      <c r="A66" s="21" t="s">
        <v>183</v>
      </c>
      <c r="B66" s="22" t="s">
        <v>184</v>
      </c>
      <c r="C66" s="23"/>
      <c r="D66" s="23" t="s">
        <v>185</v>
      </c>
      <c r="E66" s="24">
        <f>SUM(E67:E67)+76466.92</f>
        <v>76466.92</v>
      </c>
      <c r="F66" s="24">
        <f>SUM(F67:F67)+25000</f>
        <v>25000</v>
      </c>
      <c r="G66" s="24">
        <f>SUM(G67:G67)</f>
        <v>0</v>
      </c>
      <c r="H66" s="24">
        <f>SUM(H67:H67)</f>
        <v>0</v>
      </c>
      <c r="I66" s="24">
        <f>SUM(I67:I67)</f>
        <v>0</v>
      </c>
      <c r="J66" s="24">
        <f>SUM(J67:J67)</f>
        <v>0</v>
      </c>
      <c r="K66" s="24">
        <f>SUM(K67:K67)+51466.92</f>
        <v>51466.92</v>
      </c>
      <c r="L66" s="24">
        <f>SUM(L67:L67)</f>
        <v>0</v>
      </c>
      <c r="M66" s="24">
        <f>SUM(M67:M67)</f>
        <v>0</v>
      </c>
      <c r="N66" s="24">
        <f>SUM(N67:N67)</f>
        <v>0</v>
      </c>
      <c r="O66" s="24">
        <f>SUM(O67:O67)+38094.94</f>
        <v>38094.94</v>
      </c>
      <c r="P66" s="24">
        <f>SUM(P67:P67)+19525.87</f>
        <v>19525.87</v>
      </c>
      <c r="Q66" s="24">
        <f>SUM(Q67:Q67)</f>
        <v>0</v>
      </c>
      <c r="R66" s="24">
        <f>SUM(R67:R67)</f>
        <v>0</v>
      </c>
      <c r="S66" s="24">
        <f>SUM(S67:S67)</f>
        <v>0</v>
      </c>
      <c r="T66" s="24">
        <f>SUM(T67:T67)</f>
        <v>0</v>
      </c>
      <c r="U66" s="24">
        <f>SUM(U67:U67)+18569.07</f>
        <v>18569.07</v>
      </c>
      <c r="V66" s="24">
        <f>SUM(V67:V67)</f>
        <v>0</v>
      </c>
      <c r="W66" s="24">
        <f>SUM(W67:W67)</f>
        <v>0</v>
      </c>
      <c r="X66" s="24">
        <f>SUM(X67:X67)</f>
        <v>0</v>
      </c>
      <c r="Y66" s="23" t="s">
        <v>186</v>
      </c>
      <c r="Z66" s="25" t="s">
        <v>34</v>
      </c>
      <c r="AA66" s="25" t="s">
        <v>42</v>
      </c>
      <c r="AB66" s="25" t="s">
        <v>42</v>
      </c>
      <c r="AC66" s="26"/>
    </row>
    <row r="67" spans="1:29" ht="111" customHeight="1" x14ac:dyDescent="0.25">
      <c r="A67" s="21" t="s">
        <v>187</v>
      </c>
      <c r="B67" s="22" t="s">
        <v>188</v>
      </c>
      <c r="C67" s="23"/>
      <c r="D67" s="23" t="s">
        <v>185</v>
      </c>
      <c r="E67" s="27">
        <v>0</v>
      </c>
      <c r="F67" s="27">
        <v>0</v>
      </c>
      <c r="G67" s="27">
        <v>0</v>
      </c>
      <c r="H67" s="27">
        <v>0</v>
      </c>
      <c r="I67" s="27">
        <v>0</v>
      </c>
      <c r="J67" s="27">
        <v>0</v>
      </c>
      <c r="K67" s="27">
        <v>0</v>
      </c>
      <c r="L67" s="27">
        <v>0</v>
      </c>
      <c r="M67" s="27">
        <v>0</v>
      </c>
      <c r="N67" s="27">
        <v>0</v>
      </c>
      <c r="O67" s="27">
        <v>0</v>
      </c>
      <c r="P67" s="27">
        <v>0</v>
      </c>
      <c r="Q67" s="27">
        <v>0</v>
      </c>
      <c r="R67" s="27">
        <v>0</v>
      </c>
      <c r="S67" s="27">
        <v>0</v>
      </c>
      <c r="T67" s="27">
        <v>0</v>
      </c>
      <c r="U67" s="27">
        <v>0</v>
      </c>
      <c r="V67" s="27">
        <v>0</v>
      </c>
      <c r="W67" s="27">
        <v>0</v>
      </c>
      <c r="X67" s="27">
        <v>0</v>
      </c>
      <c r="Y67" s="23"/>
      <c r="Z67" s="25"/>
      <c r="AA67" s="25"/>
      <c r="AB67" s="25"/>
      <c r="AC67" s="26"/>
    </row>
    <row r="68" spans="1:29" ht="57.75" customHeight="1" x14ac:dyDescent="0.25">
      <c r="A68" s="21" t="s">
        <v>189</v>
      </c>
      <c r="B68" s="22" t="s">
        <v>190</v>
      </c>
      <c r="C68" s="23" t="s">
        <v>177</v>
      </c>
      <c r="D68" s="23" t="s">
        <v>191</v>
      </c>
      <c r="E68" s="24">
        <f>SUM(E69:E69)+380</f>
        <v>380</v>
      </c>
      <c r="F68" s="24">
        <f>SUM(F69:F69)+380</f>
        <v>380</v>
      </c>
      <c r="G68" s="24">
        <f t="shared" ref="G68:X68" si="35">SUM(G69:G69)</f>
        <v>0</v>
      </c>
      <c r="H68" s="24">
        <f t="shared" si="35"/>
        <v>0</v>
      </c>
      <c r="I68" s="24">
        <f t="shared" si="35"/>
        <v>0</v>
      </c>
      <c r="J68" s="24">
        <f t="shared" si="35"/>
        <v>0</v>
      </c>
      <c r="K68" s="24">
        <f t="shared" si="35"/>
        <v>0</v>
      </c>
      <c r="L68" s="24">
        <f t="shared" si="35"/>
        <v>0</v>
      </c>
      <c r="M68" s="24">
        <f t="shared" si="35"/>
        <v>0</v>
      </c>
      <c r="N68" s="24">
        <f t="shared" si="35"/>
        <v>0</v>
      </c>
      <c r="O68" s="24">
        <f t="shared" si="35"/>
        <v>0</v>
      </c>
      <c r="P68" s="24">
        <f t="shared" si="35"/>
        <v>0</v>
      </c>
      <c r="Q68" s="24">
        <f t="shared" si="35"/>
        <v>0</v>
      </c>
      <c r="R68" s="24">
        <f t="shared" si="35"/>
        <v>0</v>
      </c>
      <c r="S68" s="24">
        <f t="shared" si="35"/>
        <v>0</v>
      </c>
      <c r="T68" s="24">
        <f t="shared" si="35"/>
        <v>0</v>
      </c>
      <c r="U68" s="24">
        <f t="shared" si="35"/>
        <v>0</v>
      </c>
      <c r="V68" s="24">
        <f t="shared" si="35"/>
        <v>0</v>
      </c>
      <c r="W68" s="24">
        <f t="shared" si="35"/>
        <v>0</v>
      </c>
      <c r="X68" s="24">
        <f t="shared" si="35"/>
        <v>0</v>
      </c>
      <c r="Y68" s="23" t="s">
        <v>192</v>
      </c>
      <c r="Z68" s="25" t="s">
        <v>34</v>
      </c>
      <c r="AA68" s="25" t="s">
        <v>42</v>
      </c>
      <c r="AB68" s="25" t="s">
        <v>42</v>
      </c>
      <c r="AC68" s="26"/>
    </row>
    <row r="69" spans="1:29" ht="94.5" customHeight="1" x14ac:dyDescent="0.25">
      <c r="A69" s="21" t="s">
        <v>193</v>
      </c>
      <c r="B69" s="22" t="s">
        <v>194</v>
      </c>
      <c r="C69" s="23"/>
      <c r="D69" s="23" t="s">
        <v>191</v>
      </c>
      <c r="E69" s="27">
        <v>0</v>
      </c>
      <c r="F69" s="27">
        <v>0</v>
      </c>
      <c r="G69" s="27">
        <v>0</v>
      </c>
      <c r="H69" s="27">
        <v>0</v>
      </c>
      <c r="I69" s="27">
        <v>0</v>
      </c>
      <c r="J69" s="27">
        <v>0</v>
      </c>
      <c r="K69" s="27">
        <v>0</v>
      </c>
      <c r="L69" s="27">
        <v>0</v>
      </c>
      <c r="M69" s="27">
        <v>0</v>
      </c>
      <c r="N69" s="27">
        <v>0</v>
      </c>
      <c r="O69" s="27">
        <v>0</v>
      </c>
      <c r="P69" s="27">
        <v>0</v>
      </c>
      <c r="Q69" s="27">
        <v>0</v>
      </c>
      <c r="R69" s="27">
        <v>0</v>
      </c>
      <c r="S69" s="27">
        <v>0</v>
      </c>
      <c r="T69" s="27">
        <v>0</v>
      </c>
      <c r="U69" s="27">
        <v>0</v>
      </c>
      <c r="V69" s="27">
        <v>0</v>
      </c>
      <c r="W69" s="27">
        <v>0</v>
      </c>
      <c r="X69" s="27">
        <v>0</v>
      </c>
      <c r="Y69" s="23"/>
      <c r="Z69" s="25"/>
      <c r="AA69" s="25"/>
      <c r="AB69" s="25"/>
      <c r="AC69" s="26"/>
    </row>
    <row r="70" spans="1:29" ht="121.5" x14ac:dyDescent="0.25">
      <c r="A70" s="21" t="s">
        <v>195</v>
      </c>
      <c r="B70" s="22" t="s">
        <v>196</v>
      </c>
      <c r="C70" s="23"/>
      <c r="D70" s="23" t="s">
        <v>197</v>
      </c>
      <c r="E70" s="24">
        <f>SUM(E71:E71)+36481.75</f>
        <v>36481.75</v>
      </c>
      <c r="F70" s="24">
        <f>SUM(F71:F71)</f>
        <v>0</v>
      </c>
      <c r="G70" s="24">
        <f>SUM(G71:G71)</f>
        <v>0</v>
      </c>
      <c r="H70" s="24">
        <f>SUM(H71:H71)</f>
        <v>0</v>
      </c>
      <c r="I70" s="24">
        <f>SUM(I71:I71)</f>
        <v>0</v>
      </c>
      <c r="J70" s="24">
        <f>SUM(J71:J71)</f>
        <v>0</v>
      </c>
      <c r="K70" s="24">
        <f>SUM(K71:K71)+31222.25</f>
        <v>31222.25</v>
      </c>
      <c r="L70" s="24">
        <f>SUM(L71:L71)+5259.5</f>
        <v>5259.5</v>
      </c>
      <c r="M70" s="24">
        <f t="shared" ref="M70:X70" si="36">SUM(M71:M71)</f>
        <v>0</v>
      </c>
      <c r="N70" s="24">
        <f t="shared" si="36"/>
        <v>0</v>
      </c>
      <c r="O70" s="24">
        <f t="shared" si="36"/>
        <v>0</v>
      </c>
      <c r="P70" s="24">
        <f t="shared" si="36"/>
        <v>0</v>
      </c>
      <c r="Q70" s="24">
        <f t="shared" si="36"/>
        <v>0</v>
      </c>
      <c r="R70" s="24">
        <f t="shared" si="36"/>
        <v>0</v>
      </c>
      <c r="S70" s="24">
        <f t="shared" si="36"/>
        <v>0</v>
      </c>
      <c r="T70" s="24">
        <f t="shared" si="36"/>
        <v>0</v>
      </c>
      <c r="U70" s="24">
        <f t="shared" si="36"/>
        <v>0</v>
      </c>
      <c r="V70" s="24">
        <f t="shared" si="36"/>
        <v>0</v>
      </c>
      <c r="W70" s="24">
        <f t="shared" si="36"/>
        <v>0</v>
      </c>
      <c r="X70" s="24">
        <f t="shared" si="36"/>
        <v>0</v>
      </c>
      <c r="Y70" s="23" t="s">
        <v>198</v>
      </c>
      <c r="Z70" s="25" t="s">
        <v>34</v>
      </c>
      <c r="AA70" s="25" t="s">
        <v>42</v>
      </c>
      <c r="AB70" s="25" t="s">
        <v>48</v>
      </c>
      <c r="AC70" s="26" t="s">
        <v>199</v>
      </c>
    </row>
    <row r="71" spans="1:29" ht="108.75" customHeight="1" x14ac:dyDescent="0.25">
      <c r="A71" s="21" t="s">
        <v>200</v>
      </c>
      <c r="B71" s="22" t="s">
        <v>201</v>
      </c>
      <c r="C71" s="23"/>
      <c r="D71" s="23" t="s">
        <v>197</v>
      </c>
      <c r="E71" s="27">
        <v>0</v>
      </c>
      <c r="F71" s="27">
        <v>0</v>
      </c>
      <c r="G71" s="27">
        <v>0</v>
      </c>
      <c r="H71" s="27">
        <v>0</v>
      </c>
      <c r="I71" s="27">
        <v>0</v>
      </c>
      <c r="J71" s="27">
        <v>0</v>
      </c>
      <c r="K71" s="27">
        <v>0</v>
      </c>
      <c r="L71" s="27">
        <v>0</v>
      </c>
      <c r="M71" s="27">
        <v>0</v>
      </c>
      <c r="N71" s="27">
        <v>0</v>
      </c>
      <c r="O71" s="27">
        <v>0</v>
      </c>
      <c r="P71" s="27">
        <v>0</v>
      </c>
      <c r="Q71" s="27">
        <v>0</v>
      </c>
      <c r="R71" s="27">
        <v>0</v>
      </c>
      <c r="S71" s="27">
        <v>0</v>
      </c>
      <c r="T71" s="27">
        <v>0</v>
      </c>
      <c r="U71" s="27">
        <v>0</v>
      </c>
      <c r="V71" s="27">
        <v>0</v>
      </c>
      <c r="W71" s="27">
        <v>0</v>
      </c>
      <c r="X71" s="27">
        <v>0</v>
      </c>
      <c r="Y71" s="23"/>
      <c r="Z71" s="25"/>
      <c r="AA71" s="25"/>
      <c r="AB71" s="25"/>
      <c r="AC71" s="26"/>
    </row>
    <row r="72" spans="1:29" ht="70.5" customHeight="1" x14ac:dyDescent="0.25">
      <c r="A72" s="21" t="s">
        <v>202</v>
      </c>
      <c r="B72" s="22" t="s">
        <v>203</v>
      </c>
      <c r="C72" s="23"/>
      <c r="D72" s="23" t="s">
        <v>204</v>
      </c>
      <c r="E72" s="24">
        <f>SUM(E73:E73)+2540</f>
        <v>2540</v>
      </c>
      <c r="F72" s="24">
        <f>SUM(F73:F73)+2540</f>
        <v>2540</v>
      </c>
      <c r="G72" s="24">
        <f t="shared" ref="G72:N72" si="37">SUM(G73:G73)</f>
        <v>0</v>
      </c>
      <c r="H72" s="24">
        <f t="shared" si="37"/>
        <v>0</v>
      </c>
      <c r="I72" s="24">
        <f t="shared" si="37"/>
        <v>0</v>
      </c>
      <c r="J72" s="24">
        <f t="shared" si="37"/>
        <v>0</v>
      </c>
      <c r="K72" s="24">
        <f t="shared" si="37"/>
        <v>0</v>
      </c>
      <c r="L72" s="24">
        <f t="shared" si="37"/>
        <v>0</v>
      </c>
      <c r="M72" s="24">
        <f t="shared" si="37"/>
        <v>0</v>
      </c>
      <c r="N72" s="24">
        <f t="shared" si="37"/>
        <v>0</v>
      </c>
      <c r="O72" s="24">
        <f>SUM(O73:O73)+2539.41</f>
        <v>2539.41</v>
      </c>
      <c r="P72" s="24">
        <f>SUM(P73:P73)+2539.41</f>
        <v>2539.41</v>
      </c>
      <c r="Q72" s="24">
        <f t="shared" ref="Q72:X72" si="38">SUM(Q73:Q73)</f>
        <v>0</v>
      </c>
      <c r="R72" s="24">
        <f t="shared" si="38"/>
        <v>0</v>
      </c>
      <c r="S72" s="24">
        <f t="shared" si="38"/>
        <v>0</v>
      </c>
      <c r="T72" s="24">
        <f t="shared" si="38"/>
        <v>0</v>
      </c>
      <c r="U72" s="24">
        <f t="shared" si="38"/>
        <v>0</v>
      </c>
      <c r="V72" s="24">
        <f t="shared" si="38"/>
        <v>0</v>
      </c>
      <c r="W72" s="24">
        <f t="shared" si="38"/>
        <v>0</v>
      </c>
      <c r="X72" s="24">
        <f t="shared" si="38"/>
        <v>0</v>
      </c>
      <c r="Y72" s="23" t="s">
        <v>205</v>
      </c>
      <c r="Z72" s="25" t="s">
        <v>34</v>
      </c>
      <c r="AA72" s="25" t="s">
        <v>159</v>
      </c>
      <c r="AB72" s="25" t="s">
        <v>159</v>
      </c>
      <c r="AC72" s="26" t="s">
        <v>206</v>
      </c>
    </row>
    <row r="73" spans="1:29" ht="102" customHeight="1" x14ac:dyDescent="0.25">
      <c r="A73" s="21" t="s">
        <v>207</v>
      </c>
      <c r="B73" s="22" t="s">
        <v>208</v>
      </c>
      <c r="C73" s="23"/>
      <c r="D73" s="23" t="s">
        <v>209</v>
      </c>
      <c r="E73" s="27">
        <v>0</v>
      </c>
      <c r="F73" s="27">
        <v>0</v>
      </c>
      <c r="G73" s="27">
        <v>0</v>
      </c>
      <c r="H73" s="27">
        <v>0</v>
      </c>
      <c r="I73" s="27">
        <v>0</v>
      </c>
      <c r="J73" s="27">
        <v>0</v>
      </c>
      <c r="K73" s="27">
        <v>0</v>
      </c>
      <c r="L73" s="27">
        <v>0</v>
      </c>
      <c r="M73" s="27">
        <v>0</v>
      </c>
      <c r="N73" s="27">
        <v>0</v>
      </c>
      <c r="O73" s="27">
        <v>0</v>
      </c>
      <c r="P73" s="27">
        <v>0</v>
      </c>
      <c r="Q73" s="27">
        <v>0</v>
      </c>
      <c r="R73" s="27">
        <v>0</v>
      </c>
      <c r="S73" s="27">
        <v>0</v>
      </c>
      <c r="T73" s="27">
        <v>0</v>
      </c>
      <c r="U73" s="27">
        <v>0</v>
      </c>
      <c r="V73" s="27">
        <v>0</v>
      </c>
      <c r="W73" s="27">
        <v>0</v>
      </c>
      <c r="X73" s="27">
        <v>0</v>
      </c>
      <c r="Y73" s="23"/>
      <c r="Z73" s="25"/>
      <c r="AA73" s="25"/>
      <c r="AB73" s="25"/>
      <c r="AC73" s="26"/>
    </row>
    <row r="74" spans="1:29" ht="54" customHeight="1" x14ac:dyDescent="0.25">
      <c r="A74" s="15" t="s">
        <v>210</v>
      </c>
      <c r="B74" s="16" t="s">
        <v>211</v>
      </c>
      <c r="C74" s="17"/>
      <c r="D74" s="17"/>
      <c r="E74" s="18">
        <f t="shared" ref="E74:X74" si="39">E75+E85</f>
        <v>19612</v>
      </c>
      <c r="F74" s="18">
        <f t="shared" si="39"/>
        <v>11208</v>
      </c>
      <c r="G74" s="18">
        <f t="shared" si="39"/>
        <v>0</v>
      </c>
      <c r="H74" s="18">
        <f t="shared" si="39"/>
        <v>0</v>
      </c>
      <c r="I74" s="18">
        <f t="shared" si="39"/>
        <v>0</v>
      </c>
      <c r="J74" s="18">
        <f t="shared" si="39"/>
        <v>8404</v>
      </c>
      <c r="K74" s="18">
        <f t="shared" si="39"/>
        <v>0</v>
      </c>
      <c r="L74" s="18">
        <f t="shared" si="39"/>
        <v>0</v>
      </c>
      <c r="M74" s="18">
        <f t="shared" si="39"/>
        <v>0</v>
      </c>
      <c r="N74" s="18">
        <f t="shared" si="39"/>
        <v>0</v>
      </c>
      <c r="O74" s="18">
        <f t="shared" si="39"/>
        <v>19611.45</v>
      </c>
      <c r="P74" s="18">
        <f t="shared" si="39"/>
        <v>11208</v>
      </c>
      <c r="Q74" s="18">
        <f t="shared" si="39"/>
        <v>0</v>
      </c>
      <c r="R74" s="18">
        <f t="shared" si="39"/>
        <v>0</v>
      </c>
      <c r="S74" s="18">
        <f t="shared" si="39"/>
        <v>0</v>
      </c>
      <c r="T74" s="18">
        <f t="shared" si="39"/>
        <v>8403.4500000000007</v>
      </c>
      <c r="U74" s="18">
        <f t="shared" si="39"/>
        <v>0</v>
      </c>
      <c r="V74" s="18">
        <f t="shared" si="39"/>
        <v>0</v>
      </c>
      <c r="W74" s="18">
        <f t="shared" si="39"/>
        <v>0</v>
      </c>
      <c r="X74" s="18">
        <f t="shared" si="39"/>
        <v>0</v>
      </c>
      <c r="Y74" s="17"/>
      <c r="Z74" s="19"/>
      <c r="AA74" s="19"/>
      <c r="AB74" s="19"/>
      <c r="AC74" s="20"/>
    </row>
    <row r="75" spans="1:29" ht="68.25" customHeight="1" x14ac:dyDescent="0.25">
      <c r="A75" s="21" t="s">
        <v>212</v>
      </c>
      <c r="B75" s="22" t="s">
        <v>213</v>
      </c>
      <c r="C75" s="23"/>
      <c r="D75" s="23" t="s">
        <v>214</v>
      </c>
      <c r="E75" s="24">
        <f>SUM(E76:E84)+8404</f>
        <v>8404</v>
      </c>
      <c r="F75" s="24">
        <f>SUM(F76:F84)</f>
        <v>0</v>
      </c>
      <c r="G75" s="24">
        <f>SUM(G76:G84)</f>
        <v>0</v>
      </c>
      <c r="H75" s="24">
        <f>SUM(H76:H84)</f>
        <v>0</v>
      </c>
      <c r="I75" s="24">
        <f>SUM(I76:I84)</f>
        <v>0</v>
      </c>
      <c r="J75" s="24">
        <f>SUM(J76:J84)+8404</f>
        <v>8404</v>
      </c>
      <c r="K75" s="24">
        <f>SUM(K76:K84)</f>
        <v>0</v>
      </c>
      <c r="L75" s="24">
        <f>SUM(L76:L84)</f>
        <v>0</v>
      </c>
      <c r="M75" s="24">
        <f>SUM(M76:M84)</f>
        <v>0</v>
      </c>
      <c r="N75" s="24">
        <f>SUM(N76:N84)</f>
        <v>0</v>
      </c>
      <c r="O75" s="24">
        <f>SUM(O76:O84)+8403.45</f>
        <v>8403.4500000000007</v>
      </c>
      <c r="P75" s="24">
        <f>SUM(P76:P84)</f>
        <v>0</v>
      </c>
      <c r="Q75" s="24">
        <f>SUM(Q76:Q84)</f>
        <v>0</v>
      </c>
      <c r="R75" s="24">
        <f>SUM(R76:R84)</f>
        <v>0</v>
      </c>
      <c r="S75" s="24">
        <f>SUM(S76:S84)</f>
        <v>0</v>
      </c>
      <c r="T75" s="24">
        <f>SUM(T76:T84)+8403.45</f>
        <v>8403.4500000000007</v>
      </c>
      <c r="U75" s="24">
        <f>SUM(U76:U84)</f>
        <v>0</v>
      </c>
      <c r="V75" s="24">
        <f>SUM(V76:V84)</f>
        <v>0</v>
      </c>
      <c r="W75" s="24">
        <f>SUM(W76:W84)</f>
        <v>0</v>
      </c>
      <c r="X75" s="24">
        <f>SUM(X76:X84)</f>
        <v>0</v>
      </c>
      <c r="Y75" s="23" t="s">
        <v>215</v>
      </c>
      <c r="Z75" s="25" t="s">
        <v>216</v>
      </c>
      <c r="AA75" s="25" t="s">
        <v>217</v>
      </c>
      <c r="AB75" s="25" t="s">
        <v>48</v>
      </c>
      <c r="AC75" s="26" t="s">
        <v>218</v>
      </c>
    </row>
    <row r="76" spans="1:29" x14ac:dyDescent="0.25">
      <c r="A76" s="28"/>
      <c r="B76" s="29"/>
      <c r="C76" s="30"/>
      <c r="D76" s="30"/>
      <c r="E76" s="31">
        <v>0</v>
      </c>
      <c r="F76" s="31">
        <v>0</v>
      </c>
      <c r="G76" s="31">
        <v>0</v>
      </c>
      <c r="H76" s="31">
        <v>0</v>
      </c>
      <c r="I76" s="31">
        <v>0</v>
      </c>
      <c r="J76" s="31">
        <v>0</v>
      </c>
      <c r="K76" s="31">
        <v>0</v>
      </c>
      <c r="L76" s="31">
        <v>0</v>
      </c>
      <c r="M76" s="31">
        <v>0</v>
      </c>
      <c r="N76" s="31">
        <v>0</v>
      </c>
      <c r="O76" s="31">
        <v>0</v>
      </c>
      <c r="P76" s="31">
        <v>0</v>
      </c>
      <c r="Q76" s="31">
        <v>0</v>
      </c>
      <c r="R76" s="31">
        <v>0</v>
      </c>
      <c r="S76" s="31">
        <v>0</v>
      </c>
      <c r="T76" s="31">
        <v>0</v>
      </c>
      <c r="U76" s="31">
        <v>0</v>
      </c>
      <c r="V76" s="31">
        <v>0</v>
      </c>
      <c r="W76" s="31">
        <v>0</v>
      </c>
      <c r="X76" s="31">
        <v>0</v>
      </c>
      <c r="Y76" s="30" t="s">
        <v>198</v>
      </c>
      <c r="Z76" s="32" t="s">
        <v>34</v>
      </c>
      <c r="AA76" s="32" t="s">
        <v>42</v>
      </c>
      <c r="AB76" s="32" t="s">
        <v>42</v>
      </c>
      <c r="AC76" s="33"/>
    </row>
    <row r="77" spans="1:29" x14ac:dyDescent="0.25">
      <c r="A77" s="28"/>
      <c r="B77" s="29"/>
      <c r="C77" s="30"/>
      <c r="D77" s="30"/>
      <c r="E77" s="31">
        <v>0</v>
      </c>
      <c r="F77" s="31">
        <v>0</v>
      </c>
      <c r="G77" s="31">
        <v>0</v>
      </c>
      <c r="H77" s="31">
        <v>0</v>
      </c>
      <c r="I77" s="31">
        <v>0</v>
      </c>
      <c r="J77" s="31">
        <v>0</v>
      </c>
      <c r="K77" s="31">
        <v>0</v>
      </c>
      <c r="L77" s="31">
        <v>0</v>
      </c>
      <c r="M77" s="31">
        <v>0</v>
      </c>
      <c r="N77" s="31">
        <v>0</v>
      </c>
      <c r="O77" s="31">
        <v>0</v>
      </c>
      <c r="P77" s="31">
        <v>0</v>
      </c>
      <c r="Q77" s="31">
        <v>0</v>
      </c>
      <c r="R77" s="31">
        <v>0</v>
      </c>
      <c r="S77" s="31">
        <v>0</v>
      </c>
      <c r="T77" s="31">
        <v>0</v>
      </c>
      <c r="U77" s="31">
        <v>0</v>
      </c>
      <c r="V77" s="31">
        <v>0</v>
      </c>
      <c r="W77" s="31">
        <v>0</v>
      </c>
      <c r="X77" s="31">
        <v>0</v>
      </c>
      <c r="Y77" s="30" t="s">
        <v>219</v>
      </c>
      <c r="Z77" s="32" t="s">
        <v>216</v>
      </c>
      <c r="AA77" s="32" t="s">
        <v>42</v>
      </c>
      <c r="AB77" s="32" t="s">
        <v>42</v>
      </c>
      <c r="AC77" s="33"/>
    </row>
    <row r="78" spans="1:29" ht="40.5" x14ac:dyDescent="0.25">
      <c r="A78" s="28"/>
      <c r="B78" s="29"/>
      <c r="C78" s="30"/>
      <c r="D78" s="30"/>
      <c r="E78" s="31">
        <v>0</v>
      </c>
      <c r="F78" s="31">
        <v>0</v>
      </c>
      <c r="G78" s="31">
        <v>0</v>
      </c>
      <c r="H78" s="31">
        <v>0</v>
      </c>
      <c r="I78" s="31">
        <v>0</v>
      </c>
      <c r="J78" s="31">
        <v>0</v>
      </c>
      <c r="K78" s="31">
        <v>0</v>
      </c>
      <c r="L78" s="31">
        <v>0</v>
      </c>
      <c r="M78" s="31">
        <v>0</v>
      </c>
      <c r="N78" s="31">
        <v>0</v>
      </c>
      <c r="O78" s="31">
        <v>0</v>
      </c>
      <c r="P78" s="31">
        <v>0</v>
      </c>
      <c r="Q78" s="31">
        <v>0</v>
      </c>
      <c r="R78" s="31">
        <v>0</v>
      </c>
      <c r="S78" s="31">
        <v>0</v>
      </c>
      <c r="T78" s="31">
        <v>0</v>
      </c>
      <c r="U78" s="31">
        <v>0</v>
      </c>
      <c r="V78" s="31">
        <v>0</v>
      </c>
      <c r="W78" s="31">
        <v>0</v>
      </c>
      <c r="X78" s="31">
        <v>0</v>
      </c>
      <c r="Y78" s="30" t="s">
        <v>220</v>
      </c>
      <c r="Z78" s="32" t="s">
        <v>216</v>
      </c>
      <c r="AA78" s="32" t="s">
        <v>217</v>
      </c>
      <c r="AB78" s="32" t="s">
        <v>48</v>
      </c>
      <c r="AC78" s="33" t="s">
        <v>218</v>
      </c>
    </row>
    <row r="79" spans="1:29" x14ac:dyDescent="0.25">
      <c r="A79" s="28"/>
      <c r="B79" s="29"/>
      <c r="C79" s="30"/>
      <c r="D79" s="30"/>
      <c r="E79" s="31">
        <v>0</v>
      </c>
      <c r="F79" s="31">
        <v>0</v>
      </c>
      <c r="G79" s="31">
        <v>0</v>
      </c>
      <c r="H79" s="31">
        <v>0</v>
      </c>
      <c r="I79" s="31">
        <v>0</v>
      </c>
      <c r="J79" s="31">
        <v>0</v>
      </c>
      <c r="K79" s="31">
        <v>0</v>
      </c>
      <c r="L79" s="31">
        <v>0</v>
      </c>
      <c r="M79" s="31">
        <v>0</v>
      </c>
      <c r="N79" s="31">
        <v>0</v>
      </c>
      <c r="O79" s="31">
        <v>0</v>
      </c>
      <c r="P79" s="31">
        <v>0</v>
      </c>
      <c r="Q79" s="31">
        <v>0</v>
      </c>
      <c r="R79" s="31">
        <v>0</v>
      </c>
      <c r="S79" s="31">
        <v>0</v>
      </c>
      <c r="T79" s="31">
        <v>0</v>
      </c>
      <c r="U79" s="31">
        <v>0</v>
      </c>
      <c r="V79" s="31">
        <v>0</v>
      </c>
      <c r="W79" s="31">
        <v>0</v>
      </c>
      <c r="X79" s="31">
        <v>0</v>
      </c>
      <c r="Y79" s="30" t="s">
        <v>221</v>
      </c>
      <c r="Z79" s="32" t="s">
        <v>216</v>
      </c>
      <c r="AA79" s="32" t="s">
        <v>217</v>
      </c>
      <c r="AB79" s="32" t="s">
        <v>48</v>
      </c>
      <c r="AC79" s="33" t="s">
        <v>222</v>
      </c>
    </row>
    <row r="80" spans="1:29" ht="61.5" customHeight="1" x14ac:dyDescent="0.25">
      <c r="A80" s="21" t="s">
        <v>223</v>
      </c>
      <c r="B80" s="22" t="s">
        <v>224</v>
      </c>
      <c r="C80" s="23"/>
      <c r="D80" s="23" t="s">
        <v>214</v>
      </c>
      <c r="E80" s="27">
        <v>0</v>
      </c>
      <c r="F80" s="27">
        <v>0</v>
      </c>
      <c r="G80" s="27">
        <v>0</v>
      </c>
      <c r="H80" s="27">
        <v>0</v>
      </c>
      <c r="I80" s="27">
        <v>0</v>
      </c>
      <c r="J80" s="27">
        <v>0</v>
      </c>
      <c r="K80" s="27">
        <v>0</v>
      </c>
      <c r="L80" s="27">
        <v>0</v>
      </c>
      <c r="M80" s="27">
        <v>0</v>
      </c>
      <c r="N80" s="27">
        <v>0</v>
      </c>
      <c r="O80" s="27">
        <v>0</v>
      </c>
      <c r="P80" s="27">
        <v>0</v>
      </c>
      <c r="Q80" s="27">
        <v>0</v>
      </c>
      <c r="R80" s="27">
        <v>0</v>
      </c>
      <c r="S80" s="27">
        <v>0</v>
      </c>
      <c r="T80" s="27">
        <v>0</v>
      </c>
      <c r="U80" s="27">
        <v>0</v>
      </c>
      <c r="V80" s="27">
        <v>0</v>
      </c>
      <c r="W80" s="27">
        <v>0</v>
      </c>
      <c r="X80" s="27">
        <v>0</v>
      </c>
      <c r="Y80" s="23"/>
      <c r="Z80" s="25"/>
      <c r="AA80" s="25"/>
      <c r="AB80" s="25"/>
      <c r="AC80" s="26"/>
    </row>
    <row r="81" spans="1:29" ht="51.75" customHeight="1" x14ac:dyDescent="0.25">
      <c r="A81" s="21" t="s">
        <v>225</v>
      </c>
      <c r="B81" s="22" t="s">
        <v>226</v>
      </c>
      <c r="C81" s="23"/>
      <c r="D81" s="23" t="s">
        <v>214</v>
      </c>
      <c r="E81" s="27">
        <v>0</v>
      </c>
      <c r="F81" s="27">
        <v>0</v>
      </c>
      <c r="G81" s="27">
        <v>0</v>
      </c>
      <c r="H81" s="27">
        <v>0</v>
      </c>
      <c r="I81" s="27">
        <v>0</v>
      </c>
      <c r="J81" s="27">
        <v>0</v>
      </c>
      <c r="K81" s="27">
        <v>0</v>
      </c>
      <c r="L81" s="27">
        <v>0</v>
      </c>
      <c r="M81" s="27">
        <v>0</v>
      </c>
      <c r="N81" s="27">
        <v>0</v>
      </c>
      <c r="O81" s="27">
        <v>0</v>
      </c>
      <c r="P81" s="27">
        <v>0</v>
      </c>
      <c r="Q81" s="27">
        <v>0</v>
      </c>
      <c r="R81" s="27">
        <v>0</v>
      </c>
      <c r="S81" s="27">
        <v>0</v>
      </c>
      <c r="T81" s="27">
        <v>0</v>
      </c>
      <c r="U81" s="27">
        <v>0</v>
      </c>
      <c r="V81" s="27">
        <v>0</v>
      </c>
      <c r="W81" s="27">
        <v>0</v>
      </c>
      <c r="X81" s="27">
        <v>0</v>
      </c>
      <c r="Y81" s="23"/>
      <c r="Z81" s="25"/>
      <c r="AA81" s="25"/>
      <c r="AB81" s="25"/>
      <c r="AC81" s="26"/>
    </row>
    <row r="82" spans="1:29" ht="54" customHeight="1" x14ac:dyDescent="0.25">
      <c r="A82" s="21" t="s">
        <v>227</v>
      </c>
      <c r="B82" s="22" t="s">
        <v>228</v>
      </c>
      <c r="C82" s="23"/>
      <c r="D82" s="23" t="s">
        <v>214</v>
      </c>
      <c r="E82" s="27">
        <v>0</v>
      </c>
      <c r="F82" s="27">
        <v>0</v>
      </c>
      <c r="G82" s="27">
        <v>0</v>
      </c>
      <c r="H82" s="27">
        <v>0</v>
      </c>
      <c r="I82" s="27">
        <v>0</v>
      </c>
      <c r="J82" s="27">
        <v>0</v>
      </c>
      <c r="K82" s="27">
        <v>0</v>
      </c>
      <c r="L82" s="27">
        <v>0</v>
      </c>
      <c r="M82" s="27">
        <v>0</v>
      </c>
      <c r="N82" s="27">
        <v>0</v>
      </c>
      <c r="O82" s="27">
        <v>0</v>
      </c>
      <c r="P82" s="27">
        <v>0</v>
      </c>
      <c r="Q82" s="27">
        <v>0</v>
      </c>
      <c r="R82" s="27">
        <v>0</v>
      </c>
      <c r="S82" s="27">
        <v>0</v>
      </c>
      <c r="T82" s="27">
        <v>0</v>
      </c>
      <c r="U82" s="27">
        <v>0</v>
      </c>
      <c r="V82" s="27">
        <v>0</v>
      </c>
      <c r="W82" s="27">
        <v>0</v>
      </c>
      <c r="X82" s="27">
        <v>0</v>
      </c>
      <c r="Y82" s="23"/>
      <c r="Z82" s="25"/>
      <c r="AA82" s="25"/>
      <c r="AB82" s="25"/>
      <c r="AC82" s="26"/>
    </row>
    <row r="83" spans="1:29" ht="54" customHeight="1" x14ac:dyDescent="0.25">
      <c r="A83" s="21" t="s">
        <v>229</v>
      </c>
      <c r="B83" s="22" t="s">
        <v>230</v>
      </c>
      <c r="C83" s="23"/>
      <c r="D83" s="23" t="s">
        <v>214</v>
      </c>
      <c r="E83" s="27">
        <v>0</v>
      </c>
      <c r="F83" s="27">
        <v>0</v>
      </c>
      <c r="G83" s="27">
        <v>0</v>
      </c>
      <c r="H83" s="27">
        <v>0</v>
      </c>
      <c r="I83" s="27">
        <v>0</v>
      </c>
      <c r="J83" s="27">
        <v>0</v>
      </c>
      <c r="K83" s="27">
        <v>0</v>
      </c>
      <c r="L83" s="27">
        <v>0</v>
      </c>
      <c r="M83" s="27">
        <v>0</v>
      </c>
      <c r="N83" s="27">
        <v>0</v>
      </c>
      <c r="O83" s="27">
        <v>0</v>
      </c>
      <c r="P83" s="27">
        <v>0</v>
      </c>
      <c r="Q83" s="27">
        <v>0</v>
      </c>
      <c r="R83" s="27">
        <v>0</v>
      </c>
      <c r="S83" s="27">
        <v>0</v>
      </c>
      <c r="T83" s="27">
        <v>0</v>
      </c>
      <c r="U83" s="27">
        <v>0</v>
      </c>
      <c r="V83" s="27">
        <v>0</v>
      </c>
      <c r="W83" s="27">
        <v>0</v>
      </c>
      <c r="X83" s="27">
        <v>0</v>
      </c>
      <c r="Y83" s="23"/>
      <c r="Z83" s="25"/>
      <c r="AA83" s="25"/>
      <c r="AB83" s="25"/>
      <c r="AC83" s="26"/>
    </row>
    <row r="84" spans="1:29" ht="54" customHeight="1" x14ac:dyDescent="0.25">
      <c r="A84" s="21" t="s">
        <v>231</v>
      </c>
      <c r="B84" s="22" t="s">
        <v>232</v>
      </c>
      <c r="C84" s="23"/>
      <c r="D84" s="23" t="s">
        <v>214</v>
      </c>
      <c r="E84" s="27">
        <v>0</v>
      </c>
      <c r="F84" s="27">
        <v>0</v>
      </c>
      <c r="G84" s="27">
        <v>0</v>
      </c>
      <c r="H84" s="27">
        <v>0</v>
      </c>
      <c r="I84" s="27">
        <v>0</v>
      </c>
      <c r="J84" s="27">
        <v>0</v>
      </c>
      <c r="K84" s="27">
        <v>0</v>
      </c>
      <c r="L84" s="27">
        <v>0</v>
      </c>
      <c r="M84" s="27">
        <v>0</v>
      </c>
      <c r="N84" s="27">
        <v>0</v>
      </c>
      <c r="O84" s="27">
        <v>0</v>
      </c>
      <c r="P84" s="27">
        <v>0</v>
      </c>
      <c r="Q84" s="27">
        <v>0</v>
      </c>
      <c r="R84" s="27">
        <v>0</v>
      </c>
      <c r="S84" s="27">
        <v>0</v>
      </c>
      <c r="T84" s="27">
        <v>0</v>
      </c>
      <c r="U84" s="27">
        <v>0</v>
      </c>
      <c r="V84" s="27">
        <v>0</v>
      </c>
      <c r="W84" s="27">
        <v>0</v>
      </c>
      <c r="X84" s="27">
        <v>0</v>
      </c>
      <c r="Y84" s="23"/>
      <c r="Z84" s="25"/>
      <c r="AA84" s="25"/>
      <c r="AB84" s="25"/>
      <c r="AC84" s="26"/>
    </row>
    <row r="85" spans="1:29" ht="138" customHeight="1" x14ac:dyDescent="0.25">
      <c r="A85" s="21" t="s">
        <v>233</v>
      </c>
      <c r="B85" s="22" t="s">
        <v>234</v>
      </c>
      <c r="C85" s="23" t="s">
        <v>177</v>
      </c>
      <c r="D85" s="23" t="s">
        <v>235</v>
      </c>
      <c r="E85" s="24">
        <f>SUM(E86:E86)+11208</f>
        <v>11208</v>
      </c>
      <c r="F85" s="24">
        <f>SUM(F86:F86)+11208</f>
        <v>11208</v>
      </c>
      <c r="G85" s="24">
        <f t="shared" ref="G85:N85" si="40">SUM(G86:G86)</f>
        <v>0</v>
      </c>
      <c r="H85" s="24">
        <f t="shared" si="40"/>
        <v>0</v>
      </c>
      <c r="I85" s="24">
        <f t="shared" si="40"/>
        <v>0</v>
      </c>
      <c r="J85" s="24">
        <f t="shared" si="40"/>
        <v>0</v>
      </c>
      <c r="K85" s="24">
        <f t="shared" si="40"/>
        <v>0</v>
      </c>
      <c r="L85" s="24">
        <f t="shared" si="40"/>
        <v>0</v>
      </c>
      <c r="M85" s="24">
        <f t="shared" si="40"/>
        <v>0</v>
      </c>
      <c r="N85" s="24">
        <f t="shared" si="40"/>
        <v>0</v>
      </c>
      <c r="O85" s="24">
        <f>SUM(O86:O86)+11208</f>
        <v>11208</v>
      </c>
      <c r="P85" s="24">
        <f>SUM(P86:P86)+11208</f>
        <v>11208</v>
      </c>
      <c r="Q85" s="24">
        <f t="shared" ref="Q85:X85" si="41">SUM(Q86:Q86)</f>
        <v>0</v>
      </c>
      <c r="R85" s="24">
        <f t="shared" si="41"/>
        <v>0</v>
      </c>
      <c r="S85" s="24">
        <f t="shared" si="41"/>
        <v>0</v>
      </c>
      <c r="T85" s="24">
        <f t="shared" si="41"/>
        <v>0</v>
      </c>
      <c r="U85" s="24">
        <f t="shared" si="41"/>
        <v>0</v>
      </c>
      <c r="V85" s="24">
        <f t="shared" si="41"/>
        <v>0</v>
      </c>
      <c r="W85" s="24">
        <f t="shared" si="41"/>
        <v>0</v>
      </c>
      <c r="X85" s="24">
        <f t="shared" si="41"/>
        <v>0</v>
      </c>
      <c r="Y85" s="23" t="s">
        <v>236</v>
      </c>
      <c r="Z85" s="25" t="s">
        <v>34</v>
      </c>
      <c r="AA85" s="25" t="s">
        <v>168</v>
      </c>
      <c r="AB85" s="25" t="s">
        <v>80</v>
      </c>
      <c r="AC85" s="26" t="s">
        <v>237</v>
      </c>
    </row>
    <row r="86" spans="1:29" ht="44.25" customHeight="1" x14ac:dyDescent="0.25">
      <c r="A86" s="21" t="s">
        <v>238</v>
      </c>
      <c r="B86" s="22" t="s">
        <v>239</v>
      </c>
      <c r="C86" s="23"/>
      <c r="D86" s="23" t="s">
        <v>235</v>
      </c>
      <c r="E86" s="27">
        <v>0</v>
      </c>
      <c r="F86" s="27">
        <v>0</v>
      </c>
      <c r="G86" s="27">
        <v>0</v>
      </c>
      <c r="H86" s="27">
        <v>0</v>
      </c>
      <c r="I86" s="27">
        <v>0</v>
      </c>
      <c r="J86" s="27">
        <v>0</v>
      </c>
      <c r="K86" s="27">
        <v>0</v>
      </c>
      <c r="L86" s="27">
        <v>0</v>
      </c>
      <c r="M86" s="27">
        <v>0</v>
      </c>
      <c r="N86" s="27">
        <v>0</v>
      </c>
      <c r="O86" s="27">
        <v>0</v>
      </c>
      <c r="P86" s="27">
        <v>0</v>
      </c>
      <c r="Q86" s="27">
        <v>0</v>
      </c>
      <c r="R86" s="27">
        <v>0</v>
      </c>
      <c r="S86" s="27">
        <v>0</v>
      </c>
      <c r="T86" s="27">
        <v>0</v>
      </c>
      <c r="U86" s="27">
        <v>0</v>
      </c>
      <c r="V86" s="27">
        <v>0</v>
      </c>
      <c r="W86" s="27">
        <v>0</v>
      </c>
      <c r="X86" s="27">
        <v>0</v>
      </c>
      <c r="Y86" s="23"/>
      <c r="Z86" s="25"/>
      <c r="AA86" s="25"/>
      <c r="AB86" s="25"/>
      <c r="AC86" s="26"/>
    </row>
    <row r="87" spans="1:29" ht="54" customHeight="1" x14ac:dyDescent="0.25">
      <c r="A87" s="15" t="s">
        <v>240</v>
      </c>
      <c r="B87" s="16" t="s">
        <v>241</v>
      </c>
      <c r="C87" s="17"/>
      <c r="D87" s="17"/>
      <c r="E87" s="18">
        <f t="shared" ref="E87:X87" si="42">E88+E90</f>
        <v>3509</v>
      </c>
      <c r="F87" s="18">
        <f t="shared" si="42"/>
        <v>3509</v>
      </c>
      <c r="G87" s="18">
        <f t="shared" si="42"/>
        <v>0</v>
      </c>
      <c r="H87" s="18">
        <f t="shared" si="42"/>
        <v>0</v>
      </c>
      <c r="I87" s="18">
        <f t="shared" si="42"/>
        <v>0</v>
      </c>
      <c r="J87" s="18">
        <f t="shared" si="42"/>
        <v>0</v>
      </c>
      <c r="K87" s="18">
        <f t="shared" si="42"/>
        <v>0</v>
      </c>
      <c r="L87" s="18">
        <f t="shared" si="42"/>
        <v>0</v>
      </c>
      <c r="M87" s="18">
        <f t="shared" si="42"/>
        <v>0</v>
      </c>
      <c r="N87" s="18">
        <f t="shared" si="42"/>
        <v>0</v>
      </c>
      <c r="O87" s="18">
        <f t="shared" si="42"/>
        <v>3509</v>
      </c>
      <c r="P87" s="18">
        <f t="shared" si="42"/>
        <v>3509</v>
      </c>
      <c r="Q87" s="18">
        <f t="shared" si="42"/>
        <v>0</v>
      </c>
      <c r="R87" s="18">
        <f t="shared" si="42"/>
        <v>0</v>
      </c>
      <c r="S87" s="18">
        <f t="shared" si="42"/>
        <v>0</v>
      </c>
      <c r="T87" s="18">
        <f t="shared" si="42"/>
        <v>0</v>
      </c>
      <c r="U87" s="18">
        <f t="shared" si="42"/>
        <v>0</v>
      </c>
      <c r="V87" s="18">
        <f t="shared" si="42"/>
        <v>0</v>
      </c>
      <c r="W87" s="18">
        <f t="shared" si="42"/>
        <v>0</v>
      </c>
      <c r="X87" s="18">
        <f t="shared" si="42"/>
        <v>0</v>
      </c>
      <c r="Y87" s="17"/>
      <c r="Z87" s="19"/>
      <c r="AA87" s="19"/>
      <c r="AB87" s="19"/>
      <c r="AC87" s="20"/>
    </row>
    <row r="88" spans="1:29" ht="135" customHeight="1" x14ac:dyDescent="0.25">
      <c r="A88" s="21" t="s">
        <v>242</v>
      </c>
      <c r="B88" s="22" t="s">
        <v>243</v>
      </c>
      <c r="C88" s="23" t="s">
        <v>177</v>
      </c>
      <c r="D88" s="23" t="s">
        <v>244</v>
      </c>
      <c r="E88" s="24">
        <f t="shared" ref="E88:X88" si="43">SUM(E89:E89)</f>
        <v>0</v>
      </c>
      <c r="F88" s="24">
        <f t="shared" si="43"/>
        <v>0</v>
      </c>
      <c r="G88" s="24">
        <f t="shared" si="43"/>
        <v>0</v>
      </c>
      <c r="H88" s="24">
        <f t="shared" si="43"/>
        <v>0</v>
      </c>
      <c r="I88" s="24">
        <f t="shared" si="43"/>
        <v>0</v>
      </c>
      <c r="J88" s="24">
        <f t="shared" si="43"/>
        <v>0</v>
      </c>
      <c r="K88" s="24">
        <f t="shared" si="43"/>
        <v>0</v>
      </c>
      <c r="L88" s="24">
        <f t="shared" si="43"/>
        <v>0</v>
      </c>
      <c r="M88" s="24">
        <f t="shared" si="43"/>
        <v>0</v>
      </c>
      <c r="N88" s="24">
        <f t="shared" si="43"/>
        <v>0</v>
      </c>
      <c r="O88" s="24">
        <f t="shared" si="43"/>
        <v>0</v>
      </c>
      <c r="P88" s="24">
        <f t="shared" si="43"/>
        <v>0</v>
      </c>
      <c r="Q88" s="24">
        <f t="shared" si="43"/>
        <v>0</v>
      </c>
      <c r="R88" s="24">
        <f t="shared" si="43"/>
        <v>0</v>
      </c>
      <c r="S88" s="24">
        <f t="shared" si="43"/>
        <v>0</v>
      </c>
      <c r="T88" s="24">
        <f t="shared" si="43"/>
        <v>0</v>
      </c>
      <c r="U88" s="24">
        <f t="shared" si="43"/>
        <v>0</v>
      </c>
      <c r="V88" s="24">
        <f t="shared" si="43"/>
        <v>0</v>
      </c>
      <c r="W88" s="24">
        <f t="shared" si="43"/>
        <v>0</v>
      </c>
      <c r="X88" s="24">
        <f t="shared" si="43"/>
        <v>0</v>
      </c>
      <c r="Y88" s="23" t="s">
        <v>245</v>
      </c>
      <c r="Z88" s="25" t="s">
        <v>34</v>
      </c>
      <c r="AA88" s="25" t="s">
        <v>42</v>
      </c>
      <c r="AB88" s="25" t="s">
        <v>48</v>
      </c>
      <c r="AC88" s="26" t="s">
        <v>246</v>
      </c>
    </row>
    <row r="89" spans="1:29" ht="55.5" customHeight="1" x14ac:dyDescent="0.25">
      <c r="A89" s="21" t="s">
        <v>247</v>
      </c>
      <c r="B89" s="22" t="s">
        <v>248</v>
      </c>
      <c r="C89" s="23"/>
      <c r="D89" s="23" t="s">
        <v>244</v>
      </c>
      <c r="E89" s="27">
        <v>0</v>
      </c>
      <c r="F89" s="27">
        <v>0</v>
      </c>
      <c r="G89" s="27">
        <v>0</v>
      </c>
      <c r="H89" s="27">
        <v>0</v>
      </c>
      <c r="I89" s="27">
        <v>0</v>
      </c>
      <c r="J89" s="27">
        <v>0</v>
      </c>
      <c r="K89" s="27">
        <v>0</v>
      </c>
      <c r="L89" s="27">
        <v>0</v>
      </c>
      <c r="M89" s="27">
        <v>0</v>
      </c>
      <c r="N89" s="27">
        <v>0</v>
      </c>
      <c r="O89" s="27">
        <v>0</v>
      </c>
      <c r="P89" s="27">
        <v>0</v>
      </c>
      <c r="Q89" s="27">
        <v>0</v>
      </c>
      <c r="R89" s="27">
        <v>0</v>
      </c>
      <c r="S89" s="27">
        <v>0</v>
      </c>
      <c r="T89" s="27">
        <v>0</v>
      </c>
      <c r="U89" s="27">
        <v>0</v>
      </c>
      <c r="V89" s="27">
        <v>0</v>
      </c>
      <c r="W89" s="27">
        <v>0</v>
      </c>
      <c r="X89" s="27">
        <v>0</v>
      </c>
      <c r="Y89" s="23"/>
      <c r="Z89" s="25"/>
      <c r="AA89" s="25"/>
      <c r="AB89" s="25"/>
      <c r="AC89" s="26"/>
    </row>
    <row r="90" spans="1:29" ht="68.25" customHeight="1" x14ac:dyDescent="0.25">
      <c r="A90" s="21" t="s">
        <v>249</v>
      </c>
      <c r="B90" s="22" t="s">
        <v>250</v>
      </c>
      <c r="C90" s="23"/>
      <c r="D90" s="23" t="s">
        <v>251</v>
      </c>
      <c r="E90" s="24">
        <f>SUM(E91:E91)+3509</f>
        <v>3509</v>
      </c>
      <c r="F90" s="24">
        <f>SUM(F91:F91)+3509</f>
        <v>3509</v>
      </c>
      <c r="G90" s="24">
        <f t="shared" ref="G90:N90" si="44">SUM(G91:G91)</f>
        <v>0</v>
      </c>
      <c r="H90" s="24">
        <f t="shared" si="44"/>
        <v>0</v>
      </c>
      <c r="I90" s="24">
        <f t="shared" si="44"/>
        <v>0</v>
      </c>
      <c r="J90" s="24">
        <f t="shared" si="44"/>
        <v>0</v>
      </c>
      <c r="K90" s="24">
        <f t="shared" si="44"/>
        <v>0</v>
      </c>
      <c r="L90" s="24">
        <f t="shared" si="44"/>
        <v>0</v>
      </c>
      <c r="M90" s="24">
        <f t="shared" si="44"/>
        <v>0</v>
      </c>
      <c r="N90" s="24">
        <f t="shared" si="44"/>
        <v>0</v>
      </c>
      <c r="O90" s="24">
        <f>SUM(O91:O91)+3509</f>
        <v>3509</v>
      </c>
      <c r="P90" s="24">
        <f>SUM(P91:P91)+3509</f>
        <v>3509</v>
      </c>
      <c r="Q90" s="24">
        <f t="shared" ref="Q90:X90" si="45">SUM(Q91:Q91)</f>
        <v>0</v>
      </c>
      <c r="R90" s="24">
        <f t="shared" si="45"/>
        <v>0</v>
      </c>
      <c r="S90" s="24">
        <f t="shared" si="45"/>
        <v>0</v>
      </c>
      <c r="T90" s="24">
        <f t="shared" si="45"/>
        <v>0</v>
      </c>
      <c r="U90" s="24">
        <f t="shared" si="45"/>
        <v>0</v>
      </c>
      <c r="V90" s="24">
        <f t="shared" si="45"/>
        <v>0</v>
      </c>
      <c r="W90" s="24">
        <f t="shared" si="45"/>
        <v>0</v>
      </c>
      <c r="X90" s="24">
        <f t="shared" si="45"/>
        <v>0</v>
      </c>
      <c r="Y90" s="23" t="s">
        <v>252</v>
      </c>
      <c r="Z90" s="25" t="s">
        <v>34</v>
      </c>
      <c r="AA90" s="25" t="s">
        <v>42</v>
      </c>
      <c r="AB90" s="25" t="s">
        <v>42</v>
      </c>
      <c r="AC90" s="26"/>
    </row>
    <row r="91" spans="1:29" ht="54" customHeight="1" x14ac:dyDescent="0.25">
      <c r="A91" s="21" t="s">
        <v>253</v>
      </c>
      <c r="B91" s="22" t="s">
        <v>254</v>
      </c>
      <c r="C91" s="23"/>
      <c r="D91" s="23" t="s">
        <v>251</v>
      </c>
      <c r="E91" s="27">
        <v>0</v>
      </c>
      <c r="F91" s="27">
        <v>0</v>
      </c>
      <c r="G91" s="27">
        <v>0</v>
      </c>
      <c r="H91" s="27">
        <v>0</v>
      </c>
      <c r="I91" s="27">
        <v>0</v>
      </c>
      <c r="J91" s="27">
        <v>0</v>
      </c>
      <c r="K91" s="27">
        <v>0</v>
      </c>
      <c r="L91" s="27">
        <v>0</v>
      </c>
      <c r="M91" s="27">
        <v>0</v>
      </c>
      <c r="N91" s="27">
        <v>0</v>
      </c>
      <c r="O91" s="27">
        <v>0</v>
      </c>
      <c r="P91" s="27">
        <v>0</v>
      </c>
      <c r="Q91" s="27">
        <v>0</v>
      </c>
      <c r="R91" s="27">
        <v>0</v>
      </c>
      <c r="S91" s="27">
        <v>0</v>
      </c>
      <c r="T91" s="27">
        <v>0</v>
      </c>
      <c r="U91" s="27">
        <v>0</v>
      </c>
      <c r="V91" s="27">
        <v>0</v>
      </c>
      <c r="W91" s="27">
        <v>0</v>
      </c>
      <c r="X91" s="27">
        <v>0</v>
      </c>
      <c r="Y91" s="23"/>
      <c r="Z91" s="25"/>
      <c r="AA91" s="25"/>
      <c r="AB91" s="25"/>
      <c r="AC91" s="26"/>
    </row>
    <row r="92" spans="1:29" ht="57.75" customHeight="1" x14ac:dyDescent="0.25">
      <c r="A92" s="9" t="s">
        <v>255</v>
      </c>
      <c r="B92" s="10" t="s">
        <v>256</v>
      </c>
      <c r="C92" s="11"/>
      <c r="D92" s="11"/>
      <c r="E92" s="12">
        <f t="shared" ref="E92:X92" si="46">E93+E96</f>
        <v>72997.05</v>
      </c>
      <c r="F92" s="12">
        <f t="shared" si="46"/>
        <v>0</v>
      </c>
      <c r="G92" s="12">
        <f t="shared" si="46"/>
        <v>0</v>
      </c>
      <c r="H92" s="12">
        <f t="shared" si="46"/>
        <v>0</v>
      </c>
      <c r="I92" s="12">
        <f t="shared" si="46"/>
        <v>0</v>
      </c>
      <c r="J92" s="12">
        <f t="shared" si="46"/>
        <v>21899.05</v>
      </c>
      <c r="K92" s="12">
        <f t="shared" si="46"/>
        <v>0</v>
      </c>
      <c r="L92" s="12">
        <f t="shared" si="46"/>
        <v>51098</v>
      </c>
      <c r="M92" s="12">
        <f t="shared" si="46"/>
        <v>0</v>
      </c>
      <c r="N92" s="12">
        <f t="shared" si="46"/>
        <v>0</v>
      </c>
      <c r="O92" s="12">
        <f t="shared" si="46"/>
        <v>72995.759999999995</v>
      </c>
      <c r="P92" s="12">
        <f t="shared" si="46"/>
        <v>0</v>
      </c>
      <c r="Q92" s="12">
        <f t="shared" si="46"/>
        <v>0</v>
      </c>
      <c r="R92" s="12">
        <f t="shared" si="46"/>
        <v>0</v>
      </c>
      <c r="S92" s="12">
        <f t="shared" si="46"/>
        <v>0</v>
      </c>
      <c r="T92" s="12">
        <f t="shared" si="46"/>
        <v>21898.76</v>
      </c>
      <c r="U92" s="12">
        <f t="shared" si="46"/>
        <v>0</v>
      </c>
      <c r="V92" s="12">
        <f t="shared" si="46"/>
        <v>51097</v>
      </c>
      <c r="W92" s="12">
        <f t="shared" si="46"/>
        <v>0</v>
      </c>
      <c r="X92" s="12">
        <f t="shared" si="46"/>
        <v>0</v>
      </c>
      <c r="Y92" s="11"/>
      <c r="Z92" s="13"/>
      <c r="AA92" s="13"/>
      <c r="AB92" s="13"/>
      <c r="AC92" s="14"/>
    </row>
    <row r="93" spans="1:29" ht="66.75" customHeight="1" x14ac:dyDescent="0.25">
      <c r="A93" s="15" t="s">
        <v>257</v>
      </c>
      <c r="B93" s="16" t="s">
        <v>258</v>
      </c>
      <c r="C93" s="17"/>
      <c r="D93" s="17"/>
      <c r="E93" s="18">
        <f t="shared" ref="E93:X93" si="47">SUM(E94:E94)</f>
        <v>72997.05</v>
      </c>
      <c r="F93" s="18">
        <f t="shared" si="47"/>
        <v>0</v>
      </c>
      <c r="G93" s="18">
        <f t="shared" si="47"/>
        <v>0</v>
      </c>
      <c r="H93" s="18">
        <f t="shared" si="47"/>
        <v>0</v>
      </c>
      <c r="I93" s="18">
        <f t="shared" si="47"/>
        <v>0</v>
      </c>
      <c r="J93" s="18">
        <f t="shared" si="47"/>
        <v>21899.05</v>
      </c>
      <c r="K93" s="18">
        <f t="shared" si="47"/>
        <v>0</v>
      </c>
      <c r="L93" s="18">
        <f t="shared" si="47"/>
        <v>51098</v>
      </c>
      <c r="M93" s="18">
        <f t="shared" si="47"/>
        <v>0</v>
      </c>
      <c r="N93" s="18">
        <f t="shared" si="47"/>
        <v>0</v>
      </c>
      <c r="O93" s="18">
        <f t="shared" si="47"/>
        <v>72995.759999999995</v>
      </c>
      <c r="P93" s="18">
        <f t="shared" si="47"/>
        <v>0</v>
      </c>
      <c r="Q93" s="18">
        <f t="shared" si="47"/>
        <v>0</v>
      </c>
      <c r="R93" s="18">
        <f t="shared" si="47"/>
        <v>0</v>
      </c>
      <c r="S93" s="18">
        <f t="shared" si="47"/>
        <v>0</v>
      </c>
      <c r="T93" s="18">
        <f t="shared" si="47"/>
        <v>21898.76</v>
      </c>
      <c r="U93" s="18">
        <f t="shared" si="47"/>
        <v>0</v>
      </c>
      <c r="V93" s="18">
        <f t="shared" si="47"/>
        <v>51097</v>
      </c>
      <c r="W93" s="18">
        <f t="shared" si="47"/>
        <v>0</v>
      </c>
      <c r="X93" s="18">
        <f t="shared" si="47"/>
        <v>0</v>
      </c>
      <c r="Y93" s="17"/>
      <c r="Z93" s="19"/>
      <c r="AA93" s="19"/>
      <c r="AB93" s="19"/>
      <c r="AC93" s="20"/>
    </row>
    <row r="94" spans="1:29" ht="94.5" customHeight="1" x14ac:dyDescent="0.25">
      <c r="A94" s="21" t="s">
        <v>259</v>
      </c>
      <c r="B94" s="22" t="s">
        <v>260</v>
      </c>
      <c r="C94" s="23"/>
      <c r="D94" s="23" t="s">
        <v>261</v>
      </c>
      <c r="E94" s="24">
        <f>SUM(E95:E95)+72997.05</f>
        <v>72997.05</v>
      </c>
      <c r="F94" s="24">
        <f>SUM(F95:F95)</f>
        <v>0</v>
      </c>
      <c r="G94" s="24">
        <f>SUM(G95:G95)</f>
        <v>0</v>
      </c>
      <c r="H94" s="24">
        <f>SUM(H95:H95)</f>
        <v>0</v>
      </c>
      <c r="I94" s="24">
        <f>SUM(I95:I95)</f>
        <v>0</v>
      </c>
      <c r="J94" s="24">
        <f>SUM(J95:J95)+21899.05</f>
        <v>21899.05</v>
      </c>
      <c r="K94" s="24">
        <f>SUM(K95:K95)</f>
        <v>0</v>
      </c>
      <c r="L94" s="24">
        <f>SUM(L95:L95)+51098</f>
        <v>51098</v>
      </c>
      <c r="M94" s="24">
        <f>SUM(M95:M95)</f>
        <v>0</v>
      </c>
      <c r="N94" s="24">
        <f>SUM(N95:N95)</f>
        <v>0</v>
      </c>
      <c r="O94" s="24">
        <f>SUM(O95:O95)+72995.76</f>
        <v>72995.759999999995</v>
      </c>
      <c r="P94" s="24">
        <f>SUM(P95:P95)</f>
        <v>0</v>
      </c>
      <c r="Q94" s="24">
        <f>SUM(Q95:Q95)</f>
        <v>0</v>
      </c>
      <c r="R94" s="24">
        <f>SUM(R95:R95)</f>
        <v>0</v>
      </c>
      <c r="S94" s="24">
        <f>SUM(S95:S95)</f>
        <v>0</v>
      </c>
      <c r="T94" s="24">
        <f>SUM(T95:T95)+21898.76</f>
        <v>21898.76</v>
      </c>
      <c r="U94" s="24">
        <f>SUM(U95:U95)</f>
        <v>0</v>
      </c>
      <c r="V94" s="24">
        <f>SUM(V95:V95)+51097</f>
        <v>51097</v>
      </c>
      <c r="W94" s="24">
        <f>SUM(W95:W95)</f>
        <v>0</v>
      </c>
      <c r="X94" s="24">
        <f>SUM(X95:X95)</f>
        <v>0</v>
      </c>
      <c r="Y94" s="23" t="s">
        <v>262</v>
      </c>
      <c r="Z94" s="25" t="s">
        <v>34</v>
      </c>
      <c r="AA94" s="25" t="s">
        <v>263</v>
      </c>
      <c r="AB94" s="25" t="s">
        <v>263</v>
      </c>
      <c r="AC94" s="26"/>
    </row>
    <row r="95" spans="1:29" ht="60.75" x14ac:dyDescent="0.25">
      <c r="A95" s="21" t="s">
        <v>264</v>
      </c>
      <c r="B95" s="22" t="s">
        <v>265</v>
      </c>
      <c r="C95" s="23"/>
      <c r="D95" s="23" t="s">
        <v>261</v>
      </c>
      <c r="E95" s="27">
        <v>0</v>
      </c>
      <c r="F95" s="27">
        <v>0</v>
      </c>
      <c r="G95" s="27">
        <v>0</v>
      </c>
      <c r="H95" s="27">
        <v>0</v>
      </c>
      <c r="I95" s="27">
        <v>0</v>
      </c>
      <c r="J95" s="27">
        <v>0</v>
      </c>
      <c r="K95" s="27">
        <v>0</v>
      </c>
      <c r="L95" s="27">
        <v>0</v>
      </c>
      <c r="M95" s="27">
        <v>0</v>
      </c>
      <c r="N95" s="27">
        <v>0</v>
      </c>
      <c r="O95" s="27">
        <v>0</v>
      </c>
      <c r="P95" s="27">
        <v>0</v>
      </c>
      <c r="Q95" s="27">
        <v>0</v>
      </c>
      <c r="R95" s="27">
        <v>0</v>
      </c>
      <c r="S95" s="27">
        <v>0</v>
      </c>
      <c r="T95" s="27">
        <v>0</v>
      </c>
      <c r="U95" s="27">
        <v>0</v>
      </c>
      <c r="V95" s="27">
        <v>0</v>
      </c>
      <c r="W95" s="27">
        <v>0</v>
      </c>
      <c r="X95" s="27">
        <v>0</v>
      </c>
      <c r="Y95" s="23"/>
      <c r="Z95" s="25"/>
      <c r="AA95" s="25"/>
      <c r="AB95" s="25"/>
      <c r="AC95" s="26"/>
    </row>
    <row r="96" spans="1:29" ht="50.25" customHeight="1" x14ac:dyDescent="0.25">
      <c r="A96" s="15" t="s">
        <v>266</v>
      </c>
      <c r="B96" s="16" t="s">
        <v>267</v>
      </c>
      <c r="C96" s="17"/>
      <c r="D96" s="17"/>
      <c r="E96" s="18">
        <f t="shared" ref="E96:N97" si="48">SUM(E97:E97)</f>
        <v>0</v>
      </c>
      <c r="F96" s="18">
        <f t="shared" si="48"/>
        <v>0</v>
      </c>
      <c r="G96" s="18">
        <f t="shared" si="48"/>
        <v>0</v>
      </c>
      <c r="H96" s="18">
        <f t="shared" si="48"/>
        <v>0</v>
      </c>
      <c r="I96" s="18">
        <f t="shared" si="48"/>
        <v>0</v>
      </c>
      <c r="J96" s="18">
        <f t="shared" si="48"/>
        <v>0</v>
      </c>
      <c r="K96" s="18">
        <f t="shared" si="48"/>
        <v>0</v>
      </c>
      <c r="L96" s="18">
        <f t="shared" si="48"/>
        <v>0</v>
      </c>
      <c r="M96" s="18">
        <f t="shared" si="48"/>
        <v>0</v>
      </c>
      <c r="N96" s="18">
        <f t="shared" si="48"/>
        <v>0</v>
      </c>
      <c r="O96" s="18">
        <f t="shared" ref="O96:X97" si="49">SUM(O97:O97)</f>
        <v>0</v>
      </c>
      <c r="P96" s="18">
        <f t="shared" si="49"/>
        <v>0</v>
      </c>
      <c r="Q96" s="18">
        <f t="shared" si="49"/>
        <v>0</v>
      </c>
      <c r="R96" s="18">
        <f t="shared" si="49"/>
        <v>0</v>
      </c>
      <c r="S96" s="18">
        <f t="shared" si="49"/>
        <v>0</v>
      </c>
      <c r="T96" s="18">
        <f t="shared" si="49"/>
        <v>0</v>
      </c>
      <c r="U96" s="18">
        <f t="shared" si="49"/>
        <v>0</v>
      </c>
      <c r="V96" s="18">
        <f t="shared" si="49"/>
        <v>0</v>
      </c>
      <c r="W96" s="18">
        <f t="shared" si="49"/>
        <v>0</v>
      </c>
      <c r="X96" s="18">
        <f t="shared" si="49"/>
        <v>0</v>
      </c>
      <c r="Y96" s="17"/>
      <c r="Z96" s="19"/>
      <c r="AA96" s="19"/>
      <c r="AB96" s="19"/>
      <c r="AC96" s="20"/>
    </row>
    <row r="97" spans="1:29" ht="101.25" x14ac:dyDescent="0.25">
      <c r="A97" s="21" t="s">
        <v>268</v>
      </c>
      <c r="B97" s="22" t="s">
        <v>269</v>
      </c>
      <c r="C97" s="23" t="s">
        <v>177</v>
      </c>
      <c r="D97" s="23" t="s">
        <v>191</v>
      </c>
      <c r="E97" s="24">
        <f t="shared" si="48"/>
        <v>0</v>
      </c>
      <c r="F97" s="24">
        <f t="shared" si="48"/>
        <v>0</v>
      </c>
      <c r="G97" s="24">
        <f t="shared" si="48"/>
        <v>0</v>
      </c>
      <c r="H97" s="24">
        <f t="shared" si="48"/>
        <v>0</v>
      </c>
      <c r="I97" s="24">
        <f t="shared" si="48"/>
        <v>0</v>
      </c>
      <c r="J97" s="24">
        <f t="shared" si="48"/>
        <v>0</v>
      </c>
      <c r="K97" s="24">
        <f t="shared" si="48"/>
        <v>0</v>
      </c>
      <c r="L97" s="24">
        <f t="shared" si="48"/>
        <v>0</v>
      </c>
      <c r="M97" s="24">
        <f t="shared" si="48"/>
        <v>0</v>
      </c>
      <c r="N97" s="24">
        <f t="shared" si="48"/>
        <v>0</v>
      </c>
      <c r="O97" s="24">
        <f t="shared" si="49"/>
        <v>0</v>
      </c>
      <c r="P97" s="24">
        <f t="shared" si="49"/>
        <v>0</v>
      </c>
      <c r="Q97" s="24">
        <f t="shared" si="49"/>
        <v>0</v>
      </c>
      <c r="R97" s="24">
        <f t="shared" si="49"/>
        <v>0</v>
      </c>
      <c r="S97" s="24">
        <f t="shared" si="49"/>
        <v>0</v>
      </c>
      <c r="T97" s="24">
        <f t="shared" si="49"/>
        <v>0</v>
      </c>
      <c r="U97" s="24">
        <f t="shared" si="49"/>
        <v>0</v>
      </c>
      <c r="V97" s="24">
        <f t="shared" si="49"/>
        <v>0</v>
      </c>
      <c r="W97" s="24">
        <f t="shared" si="49"/>
        <v>0</v>
      </c>
      <c r="X97" s="24">
        <f t="shared" si="49"/>
        <v>0</v>
      </c>
      <c r="Y97" s="23" t="s">
        <v>270</v>
      </c>
      <c r="Z97" s="25" t="s">
        <v>34</v>
      </c>
      <c r="AA97" s="25" t="s">
        <v>109</v>
      </c>
      <c r="AB97" s="25" t="s">
        <v>48</v>
      </c>
      <c r="AC97" s="26" t="s">
        <v>271</v>
      </c>
    </row>
    <row r="98" spans="1:29" ht="79.5" customHeight="1" x14ac:dyDescent="0.25">
      <c r="A98" s="21" t="s">
        <v>272</v>
      </c>
      <c r="B98" s="22" t="s">
        <v>273</v>
      </c>
      <c r="C98" s="23"/>
      <c r="D98" s="23" t="s">
        <v>191</v>
      </c>
      <c r="E98" s="27">
        <v>0</v>
      </c>
      <c r="F98" s="27">
        <v>0</v>
      </c>
      <c r="G98" s="27">
        <v>0</v>
      </c>
      <c r="H98" s="27">
        <v>0</v>
      </c>
      <c r="I98" s="27">
        <v>0</v>
      </c>
      <c r="J98" s="27">
        <v>0</v>
      </c>
      <c r="K98" s="27">
        <v>0</v>
      </c>
      <c r="L98" s="27">
        <v>0</v>
      </c>
      <c r="M98" s="27">
        <v>0</v>
      </c>
      <c r="N98" s="27">
        <v>0</v>
      </c>
      <c r="O98" s="27">
        <v>0</v>
      </c>
      <c r="P98" s="27">
        <v>0</v>
      </c>
      <c r="Q98" s="27">
        <v>0</v>
      </c>
      <c r="R98" s="27">
        <v>0</v>
      </c>
      <c r="S98" s="27">
        <v>0</v>
      </c>
      <c r="T98" s="27">
        <v>0</v>
      </c>
      <c r="U98" s="27">
        <v>0</v>
      </c>
      <c r="V98" s="27">
        <v>0</v>
      </c>
      <c r="W98" s="27">
        <v>0</v>
      </c>
      <c r="X98" s="27">
        <v>0</v>
      </c>
      <c r="Y98" s="23"/>
      <c r="Z98" s="25"/>
      <c r="AA98" s="25"/>
      <c r="AB98" s="25"/>
      <c r="AC98" s="26"/>
    </row>
    <row r="99" spans="1:29" ht="50.25" customHeight="1" x14ac:dyDescent="0.25">
      <c r="A99" s="9" t="s">
        <v>274</v>
      </c>
      <c r="B99" s="10" t="s">
        <v>275</v>
      </c>
      <c r="C99" s="11"/>
      <c r="D99" s="11"/>
      <c r="E99" s="12">
        <f t="shared" ref="E99:X99" si="50">E100+E119</f>
        <v>161378.1</v>
      </c>
      <c r="F99" s="12">
        <f t="shared" si="50"/>
        <v>76143</v>
      </c>
      <c r="G99" s="12">
        <f t="shared" si="50"/>
        <v>0</v>
      </c>
      <c r="H99" s="12">
        <f t="shared" si="50"/>
        <v>0</v>
      </c>
      <c r="I99" s="12">
        <f t="shared" si="50"/>
        <v>0</v>
      </c>
      <c r="J99" s="12">
        <f t="shared" si="50"/>
        <v>56279</v>
      </c>
      <c r="K99" s="12">
        <f t="shared" si="50"/>
        <v>28956.1</v>
      </c>
      <c r="L99" s="12">
        <f t="shared" si="50"/>
        <v>0</v>
      </c>
      <c r="M99" s="12">
        <f t="shared" si="50"/>
        <v>0</v>
      </c>
      <c r="N99" s="12">
        <f t="shared" si="50"/>
        <v>0</v>
      </c>
      <c r="O99" s="12">
        <f t="shared" si="50"/>
        <v>154149.07999999999</v>
      </c>
      <c r="P99" s="12">
        <f t="shared" si="50"/>
        <v>73042.960000000006</v>
      </c>
      <c r="Q99" s="12">
        <f t="shared" si="50"/>
        <v>0</v>
      </c>
      <c r="R99" s="12">
        <f t="shared" si="50"/>
        <v>0</v>
      </c>
      <c r="S99" s="12">
        <f t="shared" si="50"/>
        <v>0</v>
      </c>
      <c r="T99" s="12">
        <f t="shared" si="50"/>
        <v>52150.12</v>
      </c>
      <c r="U99" s="12">
        <f t="shared" si="50"/>
        <v>28956</v>
      </c>
      <c r="V99" s="12">
        <f t="shared" si="50"/>
        <v>0</v>
      </c>
      <c r="W99" s="12">
        <f t="shared" si="50"/>
        <v>0</v>
      </c>
      <c r="X99" s="12">
        <f t="shared" si="50"/>
        <v>0</v>
      </c>
      <c r="Y99" s="11"/>
      <c r="Z99" s="13"/>
      <c r="AA99" s="13"/>
      <c r="AB99" s="13"/>
      <c r="AC99" s="14"/>
    </row>
    <row r="100" spans="1:29" ht="83.25" customHeight="1" x14ac:dyDescent="0.25">
      <c r="A100" s="15" t="s">
        <v>276</v>
      </c>
      <c r="B100" s="16" t="s">
        <v>277</v>
      </c>
      <c r="C100" s="17"/>
      <c r="D100" s="17"/>
      <c r="E100" s="18">
        <f t="shared" ref="E100:X100" si="51">E101+E110</f>
        <v>4590</v>
      </c>
      <c r="F100" s="18">
        <f t="shared" si="51"/>
        <v>3380</v>
      </c>
      <c r="G100" s="18">
        <f t="shared" si="51"/>
        <v>0</v>
      </c>
      <c r="H100" s="18">
        <f t="shared" si="51"/>
        <v>0</v>
      </c>
      <c r="I100" s="18">
        <f t="shared" si="51"/>
        <v>0</v>
      </c>
      <c r="J100" s="18">
        <f t="shared" si="51"/>
        <v>1210</v>
      </c>
      <c r="K100" s="18">
        <f t="shared" si="51"/>
        <v>0</v>
      </c>
      <c r="L100" s="18">
        <f t="shared" si="51"/>
        <v>0</v>
      </c>
      <c r="M100" s="18">
        <f t="shared" si="51"/>
        <v>0</v>
      </c>
      <c r="N100" s="18">
        <f t="shared" si="51"/>
        <v>0</v>
      </c>
      <c r="O100" s="18">
        <f t="shared" si="51"/>
        <v>4589.96</v>
      </c>
      <c r="P100" s="18">
        <f t="shared" si="51"/>
        <v>3379.96</v>
      </c>
      <c r="Q100" s="18">
        <f t="shared" si="51"/>
        <v>0</v>
      </c>
      <c r="R100" s="18">
        <f t="shared" si="51"/>
        <v>0</v>
      </c>
      <c r="S100" s="18">
        <f t="shared" si="51"/>
        <v>0</v>
      </c>
      <c r="T100" s="18">
        <f t="shared" si="51"/>
        <v>1210</v>
      </c>
      <c r="U100" s="18">
        <f t="shared" si="51"/>
        <v>0</v>
      </c>
      <c r="V100" s="18">
        <f t="shared" si="51"/>
        <v>0</v>
      </c>
      <c r="W100" s="18">
        <f t="shared" si="51"/>
        <v>0</v>
      </c>
      <c r="X100" s="18">
        <f t="shared" si="51"/>
        <v>0</v>
      </c>
      <c r="Y100" s="17"/>
      <c r="Z100" s="19"/>
      <c r="AA100" s="19"/>
      <c r="AB100" s="19"/>
      <c r="AC100" s="20"/>
    </row>
    <row r="101" spans="1:29" ht="102" customHeight="1" x14ac:dyDescent="0.25">
      <c r="A101" s="21" t="s">
        <v>278</v>
      </c>
      <c r="B101" s="22" t="s">
        <v>279</v>
      </c>
      <c r="C101" s="23" t="s">
        <v>177</v>
      </c>
      <c r="D101" s="23" t="s">
        <v>214</v>
      </c>
      <c r="E101" s="24">
        <f>SUM(E102:E109)+3380</f>
        <v>3380</v>
      </c>
      <c r="F101" s="24">
        <f>SUM(F102:F109)+3380</f>
        <v>3380</v>
      </c>
      <c r="G101" s="24">
        <f t="shared" ref="G101:N101" si="52">SUM(G102:G109)</f>
        <v>0</v>
      </c>
      <c r="H101" s="24">
        <f t="shared" si="52"/>
        <v>0</v>
      </c>
      <c r="I101" s="24">
        <f t="shared" si="52"/>
        <v>0</v>
      </c>
      <c r="J101" s="24">
        <f t="shared" si="52"/>
        <v>0</v>
      </c>
      <c r="K101" s="24">
        <f t="shared" si="52"/>
        <v>0</v>
      </c>
      <c r="L101" s="24">
        <f t="shared" si="52"/>
        <v>0</v>
      </c>
      <c r="M101" s="24">
        <f t="shared" si="52"/>
        <v>0</v>
      </c>
      <c r="N101" s="24">
        <f t="shared" si="52"/>
        <v>0</v>
      </c>
      <c r="O101" s="24">
        <f>SUM(O102:O109)+3379.96</f>
        <v>3379.96</v>
      </c>
      <c r="P101" s="24">
        <f>SUM(P102:P109)+3379.96</f>
        <v>3379.96</v>
      </c>
      <c r="Q101" s="24">
        <f t="shared" ref="Q101:X101" si="53">SUM(Q102:Q109)</f>
        <v>0</v>
      </c>
      <c r="R101" s="24">
        <f t="shared" si="53"/>
        <v>0</v>
      </c>
      <c r="S101" s="24">
        <f t="shared" si="53"/>
        <v>0</v>
      </c>
      <c r="T101" s="24">
        <f t="shared" si="53"/>
        <v>0</v>
      </c>
      <c r="U101" s="24">
        <f t="shared" si="53"/>
        <v>0</v>
      </c>
      <c r="V101" s="24">
        <f t="shared" si="53"/>
        <v>0</v>
      </c>
      <c r="W101" s="24">
        <f t="shared" si="53"/>
        <v>0</v>
      </c>
      <c r="X101" s="24">
        <f t="shared" si="53"/>
        <v>0</v>
      </c>
      <c r="Y101" s="23" t="s">
        <v>215</v>
      </c>
      <c r="Z101" s="25" t="s">
        <v>34</v>
      </c>
      <c r="AA101" s="25" t="s">
        <v>217</v>
      </c>
      <c r="AB101" s="25" t="s">
        <v>48</v>
      </c>
      <c r="AC101" s="26" t="s">
        <v>280</v>
      </c>
    </row>
    <row r="102" spans="1:29" x14ac:dyDescent="0.25">
      <c r="A102" s="28"/>
      <c r="B102" s="29"/>
      <c r="C102" s="30"/>
      <c r="D102" s="30"/>
      <c r="E102" s="31">
        <v>0</v>
      </c>
      <c r="F102" s="31">
        <v>0</v>
      </c>
      <c r="G102" s="31">
        <v>0</v>
      </c>
      <c r="H102" s="31">
        <v>0</v>
      </c>
      <c r="I102" s="31">
        <v>0</v>
      </c>
      <c r="J102" s="31">
        <v>0</v>
      </c>
      <c r="K102" s="31">
        <v>0</v>
      </c>
      <c r="L102" s="31">
        <v>0</v>
      </c>
      <c r="M102" s="31">
        <v>0</v>
      </c>
      <c r="N102" s="31">
        <v>0</v>
      </c>
      <c r="O102" s="31">
        <v>0</v>
      </c>
      <c r="P102" s="31">
        <v>0</v>
      </c>
      <c r="Q102" s="31">
        <v>0</v>
      </c>
      <c r="R102" s="31">
        <v>0</v>
      </c>
      <c r="S102" s="31">
        <v>0</v>
      </c>
      <c r="T102" s="31">
        <v>0</v>
      </c>
      <c r="U102" s="31">
        <v>0</v>
      </c>
      <c r="V102" s="31">
        <v>0</v>
      </c>
      <c r="W102" s="31">
        <v>0</v>
      </c>
      <c r="X102" s="31">
        <v>0</v>
      </c>
      <c r="Y102" s="30" t="s">
        <v>198</v>
      </c>
      <c r="Z102" s="32" t="s">
        <v>34</v>
      </c>
      <c r="AA102" s="32" t="s">
        <v>42</v>
      </c>
      <c r="AB102" s="32" t="s">
        <v>48</v>
      </c>
      <c r="AC102" s="33" t="s">
        <v>280</v>
      </c>
    </row>
    <row r="103" spans="1:29" x14ac:dyDescent="0.25">
      <c r="A103" s="28"/>
      <c r="B103" s="29"/>
      <c r="C103" s="30"/>
      <c r="D103" s="30"/>
      <c r="E103" s="31">
        <v>0</v>
      </c>
      <c r="F103" s="31">
        <v>0</v>
      </c>
      <c r="G103" s="31">
        <v>0</v>
      </c>
      <c r="H103" s="31">
        <v>0</v>
      </c>
      <c r="I103" s="31">
        <v>0</v>
      </c>
      <c r="J103" s="31">
        <v>0</v>
      </c>
      <c r="K103" s="31">
        <v>0</v>
      </c>
      <c r="L103" s="31">
        <v>0</v>
      </c>
      <c r="M103" s="31">
        <v>0</v>
      </c>
      <c r="N103" s="31">
        <v>0</v>
      </c>
      <c r="O103" s="31">
        <v>0</v>
      </c>
      <c r="P103" s="31">
        <v>0</v>
      </c>
      <c r="Q103" s="31">
        <v>0</v>
      </c>
      <c r="R103" s="31">
        <v>0</v>
      </c>
      <c r="S103" s="31">
        <v>0</v>
      </c>
      <c r="T103" s="31">
        <v>0</v>
      </c>
      <c r="U103" s="31">
        <v>0</v>
      </c>
      <c r="V103" s="31">
        <v>0</v>
      </c>
      <c r="W103" s="31">
        <v>0</v>
      </c>
      <c r="X103" s="31">
        <v>0</v>
      </c>
      <c r="Y103" s="30" t="s">
        <v>220</v>
      </c>
      <c r="Z103" s="32" t="s">
        <v>216</v>
      </c>
      <c r="AA103" s="32" t="s">
        <v>217</v>
      </c>
      <c r="AB103" s="32" t="s">
        <v>48</v>
      </c>
      <c r="AC103" s="33" t="s">
        <v>280</v>
      </c>
    </row>
    <row r="104" spans="1:29" x14ac:dyDescent="0.25">
      <c r="A104" s="28"/>
      <c r="B104" s="29"/>
      <c r="C104" s="30"/>
      <c r="D104" s="30"/>
      <c r="E104" s="31">
        <v>0</v>
      </c>
      <c r="F104" s="31">
        <v>0</v>
      </c>
      <c r="G104" s="31">
        <v>0</v>
      </c>
      <c r="H104" s="31">
        <v>0</v>
      </c>
      <c r="I104" s="31">
        <v>0</v>
      </c>
      <c r="J104" s="31">
        <v>0</v>
      </c>
      <c r="K104" s="31">
        <v>0</v>
      </c>
      <c r="L104" s="31">
        <v>0</v>
      </c>
      <c r="M104" s="31">
        <v>0</v>
      </c>
      <c r="N104" s="31">
        <v>0</v>
      </c>
      <c r="O104" s="31">
        <v>0</v>
      </c>
      <c r="P104" s="31">
        <v>0</v>
      </c>
      <c r="Q104" s="31">
        <v>0</v>
      </c>
      <c r="R104" s="31">
        <v>0</v>
      </c>
      <c r="S104" s="31">
        <v>0</v>
      </c>
      <c r="T104" s="31">
        <v>0</v>
      </c>
      <c r="U104" s="31">
        <v>0</v>
      </c>
      <c r="V104" s="31">
        <v>0</v>
      </c>
      <c r="W104" s="31">
        <v>0</v>
      </c>
      <c r="X104" s="31">
        <v>0</v>
      </c>
      <c r="Y104" s="30" t="s">
        <v>221</v>
      </c>
      <c r="Z104" s="32" t="s">
        <v>216</v>
      </c>
      <c r="AA104" s="32" t="s">
        <v>217</v>
      </c>
      <c r="AB104" s="32" t="s">
        <v>48</v>
      </c>
      <c r="AC104" s="33" t="s">
        <v>280</v>
      </c>
    </row>
    <row r="105" spans="1:29" ht="31.5" customHeight="1" x14ac:dyDescent="0.25">
      <c r="A105" s="28"/>
      <c r="B105" s="29"/>
      <c r="C105" s="30"/>
      <c r="D105" s="30"/>
      <c r="E105" s="31">
        <v>0</v>
      </c>
      <c r="F105" s="31">
        <v>0</v>
      </c>
      <c r="G105" s="31">
        <v>0</v>
      </c>
      <c r="H105" s="31">
        <v>0</v>
      </c>
      <c r="I105" s="31">
        <v>0</v>
      </c>
      <c r="J105" s="31">
        <v>0</v>
      </c>
      <c r="K105" s="31">
        <v>0</v>
      </c>
      <c r="L105" s="31">
        <v>0</v>
      </c>
      <c r="M105" s="31">
        <v>0</v>
      </c>
      <c r="N105" s="31">
        <v>0</v>
      </c>
      <c r="O105" s="31">
        <v>0</v>
      </c>
      <c r="P105" s="31">
        <v>0</v>
      </c>
      <c r="Q105" s="31">
        <v>0</v>
      </c>
      <c r="R105" s="31">
        <v>0</v>
      </c>
      <c r="S105" s="31">
        <v>0</v>
      </c>
      <c r="T105" s="31">
        <v>0</v>
      </c>
      <c r="U105" s="31">
        <v>0</v>
      </c>
      <c r="V105" s="31">
        <v>0</v>
      </c>
      <c r="W105" s="31">
        <v>0</v>
      </c>
      <c r="X105" s="31">
        <v>0</v>
      </c>
      <c r="Y105" s="30" t="s">
        <v>281</v>
      </c>
      <c r="Z105" s="32" t="s">
        <v>34</v>
      </c>
      <c r="AA105" s="32" t="s">
        <v>42</v>
      </c>
      <c r="AB105" s="32" t="s">
        <v>48</v>
      </c>
      <c r="AC105" s="33" t="s">
        <v>280</v>
      </c>
    </row>
    <row r="106" spans="1:29" ht="112.5" customHeight="1" x14ac:dyDescent="0.25">
      <c r="A106" s="21" t="s">
        <v>282</v>
      </c>
      <c r="B106" s="22" t="s">
        <v>283</v>
      </c>
      <c r="C106" s="23"/>
      <c r="D106" s="23" t="s">
        <v>214</v>
      </c>
      <c r="E106" s="27">
        <v>0</v>
      </c>
      <c r="F106" s="27">
        <v>0</v>
      </c>
      <c r="G106" s="27">
        <v>0</v>
      </c>
      <c r="H106" s="27">
        <v>0</v>
      </c>
      <c r="I106" s="27">
        <v>0</v>
      </c>
      <c r="J106" s="27">
        <v>0</v>
      </c>
      <c r="K106" s="27">
        <v>0</v>
      </c>
      <c r="L106" s="27">
        <v>0</v>
      </c>
      <c r="M106" s="27">
        <v>0</v>
      </c>
      <c r="N106" s="27">
        <v>0</v>
      </c>
      <c r="O106" s="27">
        <v>0</v>
      </c>
      <c r="P106" s="27">
        <v>0</v>
      </c>
      <c r="Q106" s="27">
        <v>0</v>
      </c>
      <c r="R106" s="27">
        <v>0</v>
      </c>
      <c r="S106" s="27">
        <v>0</v>
      </c>
      <c r="T106" s="27">
        <v>0</v>
      </c>
      <c r="U106" s="27">
        <v>0</v>
      </c>
      <c r="V106" s="27">
        <v>0</v>
      </c>
      <c r="W106" s="27">
        <v>0</v>
      </c>
      <c r="X106" s="27">
        <v>0</v>
      </c>
      <c r="Y106" s="23"/>
      <c r="Z106" s="25"/>
      <c r="AA106" s="25"/>
      <c r="AB106" s="25"/>
      <c r="AC106" s="26"/>
    </row>
    <row r="107" spans="1:29" ht="33.75" customHeight="1" x14ac:dyDescent="0.25">
      <c r="A107" s="21" t="s">
        <v>284</v>
      </c>
      <c r="B107" s="22" t="s">
        <v>285</v>
      </c>
      <c r="C107" s="23"/>
      <c r="D107" s="23" t="s">
        <v>214</v>
      </c>
      <c r="E107" s="27">
        <v>0</v>
      </c>
      <c r="F107" s="27">
        <v>0</v>
      </c>
      <c r="G107" s="27">
        <v>0</v>
      </c>
      <c r="H107" s="27">
        <v>0</v>
      </c>
      <c r="I107" s="27">
        <v>0</v>
      </c>
      <c r="J107" s="27">
        <v>0</v>
      </c>
      <c r="K107" s="27">
        <v>0</v>
      </c>
      <c r="L107" s="27">
        <v>0</v>
      </c>
      <c r="M107" s="27">
        <v>0</v>
      </c>
      <c r="N107" s="27">
        <v>0</v>
      </c>
      <c r="O107" s="27">
        <v>0</v>
      </c>
      <c r="P107" s="27">
        <v>0</v>
      </c>
      <c r="Q107" s="27">
        <v>0</v>
      </c>
      <c r="R107" s="27">
        <v>0</v>
      </c>
      <c r="S107" s="27">
        <v>0</v>
      </c>
      <c r="T107" s="27">
        <v>0</v>
      </c>
      <c r="U107" s="27">
        <v>0</v>
      </c>
      <c r="V107" s="27">
        <v>0</v>
      </c>
      <c r="W107" s="27">
        <v>0</v>
      </c>
      <c r="X107" s="27">
        <v>0</v>
      </c>
      <c r="Y107" s="23"/>
      <c r="Z107" s="25"/>
      <c r="AA107" s="25"/>
      <c r="AB107" s="25"/>
      <c r="AC107" s="26"/>
    </row>
    <row r="108" spans="1:29" ht="54" customHeight="1" x14ac:dyDescent="0.25">
      <c r="A108" s="21" t="s">
        <v>286</v>
      </c>
      <c r="B108" s="22" t="s">
        <v>287</v>
      </c>
      <c r="C108" s="23"/>
      <c r="D108" s="23" t="s">
        <v>214</v>
      </c>
      <c r="E108" s="27">
        <v>0</v>
      </c>
      <c r="F108" s="27">
        <v>0</v>
      </c>
      <c r="G108" s="27">
        <v>0</v>
      </c>
      <c r="H108" s="27">
        <v>0</v>
      </c>
      <c r="I108" s="27">
        <v>0</v>
      </c>
      <c r="J108" s="27">
        <v>0</v>
      </c>
      <c r="K108" s="27">
        <v>0</v>
      </c>
      <c r="L108" s="27">
        <v>0</v>
      </c>
      <c r="M108" s="27">
        <v>0</v>
      </c>
      <c r="N108" s="27">
        <v>0</v>
      </c>
      <c r="O108" s="27">
        <v>0</v>
      </c>
      <c r="P108" s="27">
        <v>0</v>
      </c>
      <c r="Q108" s="27">
        <v>0</v>
      </c>
      <c r="R108" s="27">
        <v>0</v>
      </c>
      <c r="S108" s="27">
        <v>0</v>
      </c>
      <c r="T108" s="27">
        <v>0</v>
      </c>
      <c r="U108" s="27">
        <v>0</v>
      </c>
      <c r="V108" s="27">
        <v>0</v>
      </c>
      <c r="W108" s="27">
        <v>0</v>
      </c>
      <c r="X108" s="27">
        <v>0</v>
      </c>
      <c r="Y108" s="23"/>
      <c r="Z108" s="25"/>
      <c r="AA108" s="25"/>
      <c r="AB108" s="25"/>
      <c r="AC108" s="26"/>
    </row>
    <row r="109" spans="1:29" ht="63" customHeight="1" x14ac:dyDescent="0.25">
      <c r="A109" s="21" t="s">
        <v>288</v>
      </c>
      <c r="B109" s="22" t="s">
        <v>289</v>
      </c>
      <c r="C109" s="23"/>
      <c r="D109" s="23" t="s">
        <v>214</v>
      </c>
      <c r="E109" s="27">
        <v>0</v>
      </c>
      <c r="F109" s="27">
        <v>0</v>
      </c>
      <c r="G109" s="27">
        <v>0</v>
      </c>
      <c r="H109" s="27">
        <v>0</v>
      </c>
      <c r="I109" s="27">
        <v>0</v>
      </c>
      <c r="J109" s="27">
        <v>0</v>
      </c>
      <c r="K109" s="27">
        <v>0</v>
      </c>
      <c r="L109" s="27">
        <v>0</v>
      </c>
      <c r="M109" s="27">
        <v>0</v>
      </c>
      <c r="N109" s="27">
        <v>0</v>
      </c>
      <c r="O109" s="27">
        <v>0</v>
      </c>
      <c r="P109" s="27">
        <v>0</v>
      </c>
      <c r="Q109" s="27">
        <v>0</v>
      </c>
      <c r="R109" s="27">
        <v>0</v>
      </c>
      <c r="S109" s="27">
        <v>0</v>
      </c>
      <c r="T109" s="27">
        <v>0</v>
      </c>
      <c r="U109" s="27">
        <v>0</v>
      </c>
      <c r="V109" s="27">
        <v>0</v>
      </c>
      <c r="W109" s="27">
        <v>0</v>
      </c>
      <c r="X109" s="27">
        <v>0</v>
      </c>
      <c r="Y109" s="23"/>
      <c r="Z109" s="25"/>
      <c r="AA109" s="25"/>
      <c r="AB109" s="25"/>
      <c r="AC109" s="26"/>
    </row>
    <row r="110" spans="1:29" ht="73.5" customHeight="1" x14ac:dyDescent="0.25">
      <c r="A110" s="21" t="s">
        <v>290</v>
      </c>
      <c r="B110" s="22" t="s">
        <v>291</v>
      </c>
      <c r="C110" s="23"/>
      <c r="D110" s="23" t="s">
        <v>214</v>
      </c>
      <c r="E110" s="24">
        <f>SUM(E111:E118)+1210</f>
        <v>1210</v>
      </c>
      <c r="F110" s="24">
        <f>SUM(F111:F118)</f>
        <v>0</v>
      </c>
      <c r="G110" s="24">
        <f>SUM(G111:G118)</f>
        <v>0</v>
      </c>
      <c r="H110" s="24">
        <f>SUM(H111:H118)</f>
        <v>0</v>
      </c>
      <c r="I110" s="24">
        <f>SUM(I111:I118)</f>
        <v>0</v>
      </c>
      <c r="J110" s="24">
        <f>SUM(J111:J118)+1210</f>
        <v>1210</v>
      </c>
      <c r="K110" s="24">
        <f>SUM(K111:K118)</f>
        <v>0</v>
      </c>
      <c r="L110" s="24">
        <f>SUM(L111:L118)</f>
        <v>0</v>
      </c>
      <c r="M110" s="24">
        <f>SUM(M111:M118)</f>
        <v>0</v>
      </c>
      <c r="N110" s="24">
        <f>SUM(N111:N118)</f>
        <v>0</v>
      </c>
      <c r="O110" s="24">
        <f>SUM(O111:O118)+1210</f>
        <v>1210</v>
      </c>
      <c r="P110" s="24">
        <f>SUM(P111:P118)</f>
        <v>0</v>
      </c>
      <c r="Q110" s="24">
        <f>SUM(Q111:Q118)</f>
        <v>0</v>
      </c>
      <c r="R110" s="24">
        <f>SUM(R111:R118)</f>
        <v>0</v>
      </c>
      <c r="S110" s="24">
        <f>SUM(S111:S118)</f>
        <v>0</v>
      </c>
      <c r="T110" s="24">
        <f>SUM(T111:T118)+1210</f>
        <v>1210</v>
      </c>
      <c r="U110" s="24">
        <f>SUM(U111:U118)</f>
        <v>0</v>
      </c>
      <c r="V110" s="24">
        <f>SUM(V111:V118)</f>
        <v>0</v>
      </c>
      <c r="W110" s="24">
        <f>SUM(W111:W118)</f>
        <v>0</v>
      </c>
      <c r="X110" s="24">
        <f>SUM(X111:X118)</f>
        <v>0</v>
      </c>
      <c r="Y110" s="23" t="s">
        <v>215</v>
      </c>
      <c r="Z110" s="25" t="s">
        <v>216</v>
      </c>
      <c r="AA110" s="25" t="s">
        <v>292</v>
      </c>
      <c r="AB110" s="25" t="s">
        <v>48</v>
      </c>
      <c r="AC110" s="26" t="s">
        <v>280</v>
      </c>
    </row>
    <row r="111" spans="1:29" x14ac:dyDescent="0.25">
      <c r="A111" s="28"/>
      <c r="B111" s="29"/>
      <c r="C111" s="30"/>
      <c r="D111" s="30"/>
      <c r="E111" s="31">
        <v>0</v>
      </c>
      <c r="F111" s="31">
        <v>0</v>
      </c>
      <c r="G111" s="31">
        <v>0</v>
      </c>
      <c r="H111" s="31">
        <v>0</v>
      </c>
      <c r="I111" s="31">
        <v>0</v>
      </c>
      <c r="J111" s="31">
        <v>0</v>
      </c>
      <c r="K111" s="31">
        <v>0</v>
      </c>
      <c r="L111" s="31">
        <v>0</v>
      </c>
      <c r="M111" s="31">
        <v>0</v>
      </c>
      <c r="N111" s="31">
        <v>0</v>
      </c>
      <c r="O111" s="31">
        <v>0</v>
      </c>
      <c r="P111" s="31">
        <v>0</v>
      </c>
      <c r="Q111" s="31">
        <v>0</v>
      </c>
      <c r="R111" s="31">
        <v>0</v>
      </c>
      <c r="S111" s="31">
        <v>0</v>
      </c>
      <c r="T111" s="31">
        <v>0</v>
      </c>
      <c r="U111" s="31">
        <v>0</v>
      </c>
      <c r="V111" s="31">
        <v>0</v>
      </c>
      <c r="W111" s="31">
        <v>0</v>
      </c>
      <c r="X111" s="31">
        <v>0</v>
      </c>
      <c r="Y111" s="30" t="s">
        <v>198</v>
      </c>
      <c r="Z111" s="32" t="s">
        <v>216</v>
      </c>
      <c r="AA111" s="32" t="s">
        <v>293</v>
      </c>
      <c r="AB111" s="32" t="s">
        <v>48</v>
      </c>
      <c r="AC111" s="33" t="s">
        <v>280</v>
      </c>
    </row>
    <row r="112" spans="1:29" x14ac:dyDescent="0.25">
      <c r="A112" s="28"/>
      <c r="B112" s="29"/>
      <c r="C112" s="30"/>
      <c r="D112" s="30"/>
      <c r="E112" s="31">
        <v>0</v>
      </c>
      <c r="F112" s="31">
        <v>0</v>
      </c>
      <c r="G112" s="31">
        <v>0</v>
      </c>
      <c r="H112" s="31">
        <v>0</v>
      </c>
      <c r="I112" s="31">
        <v>0</v>
      </c>
      <c r="J112" s="31">
        <v>0</v>
      </c>
      <c r="K112" s="31">
        <v>0</v>
      </c>
      <c r="L112" s="31">
        <v>0</v>
      </c>
      <c r="M112" s="31">
        <v>0</v>
      </c>
      <c r="N112" s="31">
        <v>0</v>
      </c>
      <c r="O112" s="31">
        <v>0</v>
      </c>
      <c r="P112" s="31">
        <v>0</v>
      </c>
      <c r="Q112" s="31">
        <v>0</v>
      </c>
      <c r="R112" s="31">
        <v>0</v>
      </c>
      <c r="S112" s="31">
        <v>0</v>
      </c>
      <c r="T112" s="31">
        <v>0</v>
      </c>
      <c r="U112" s="31">
        <v>0</v>
      </c>
      <c r="V112" s="31">
        <v>0</v>
      </c>
      <c r="W112" s="31">
        <v>0</v>
      </c>
      <c r="X112" s="31">
        <v>0</v>
      </c>
      <c r="Y112" s="30" t="s">
        <v>220</v>
      </c>
      <c r="Z112" s="32" t="s">
        <v>216</v>
      </c>
      <c r="AA112" s="32" t="s">
        <v>292</v>
      </c>
      <c r="AB112" s="32" t="s">
        <v>48</v>
      </c>
      <c r="AC112" s="33" t="s">
        <v>280</v>
      </c>
    </row>
    <row r="113" spans="1:29" x14ac:dyDescent="0.25">
      <c r="A113" s="28"/>
      <c r="B113" s="29"/>
      <c r="C113" s="30"/>
      <c r="D113" s="30"/>
      <c r="E113" s="31">
        <v>0</v>
      </c>
      <c r="F113" s="31">
        <v>0</v>
      </c>
      <c r="G113" s="31">
        <v>0</v>
      </c>
      <c r="H113" s="31">
        <v>0</v>
      </c>
      <c r="I113" s="31">
        <v>0</v>
      </c>
      <c r="J113" s="31">
        <v>0</v>
      </c>
      <c r="K113" s="31">
        <v>0</v>
      </c>
      <c r="L113" s="31">
        <v>0</v>
      </c>
      <c r="M113" s="31">
        <v>0</v>
      </c>
      <c r="N113" s="31">
        <v>0</v>
      </c>
      <c r="O113" s="31">
        <v>0</v>
      </c>
      <c r="P113" s="31">
        <v>0</v>
      </c>
      <c r="Q113" s="31">
        <v>0</v>
      </c>
      <c r="R113" s="31">
        <v>0</v>
      </c>
      <c r="S113" s="31">
        <v>0</v>
      </c>
      <c r="T113" s="31">
        <v>0</v>
      </c>
      <c r="U113" s="31">
        <v>0</v>
      </c>
      <c r="V113" s="31">
        <v>0</v>
      </c>
      <c r="W113" s="31">
        <v>0</v>
      </c>
      <c r="X113" s="31">
        <v>0</v>
      </c>
      <c r="Y113" s="30" t="s">
        <v>221</v>
      </c>
      <c r="Z113" s="32" t="s">
        <v>216</v>
      </c>
      <c r="AA113" s="32" t="s">
        <v>292</v>
      </c>
      <c r="AB113" s="32" t="s">
        <v>48</v>
      </c>
      <c r="AC113" s="33" t="s">
        <v>280</v>
      </c>
    </row>
    <row r="114" spans="1:29" ht="31.5" customHeight="1" x14ac:dyDescent="0.25">
      <c r="A114" s="28"/>
      <c r="B114" s="29"/>
      <c r="C114" s="30"/>
      <c r="D114" s="30"/>
      <c r="E114" s="31">
        <v>0</v>
      </c>
      <c r="F114" s="31">
        <v>0</v>
      </c>
      <c r="G114" s="31">
        <v>0</v>
      </c>
      <c r="H114" s="31">
        <v>0</v>
      </c>
      <c r="I114" s="31">
        <v>0</v>
      </c>
      <c r="J114" s="31">
        <v>0</v>
      </c>
      <c r="K114" s="31">
        <v>0</v>
      </c>
      <c r="L114" s="31">
        <v>0</v>
      </c>
      <c r="M114" s="31">
        <v>0</v>
      </c>
      <c r="N114" s="31">
        <v>0</v>
      </c>
      <c r="O114" s="31">
        <v>0</v>
      </c>
      <c r="P114" s="31">
        <v>0</v>
      </c>
      <c r="Q114" s="31">
        <v>0</v>
      </c>
      <c r="R114" s="31">
        <v>0</v>
      </c>
      <c r="S114" s="31">
        <v>0</v>
      </c>
      <c r="T114" s="31">
        <v>0</v>
      </c>
      <c r="U114" s="31">
        <v>0</v>
      </c>
      <c r="V114" s="31">
        <v>0</v>
      </c>
      <c r="W114" s="31">
        <v>0</v>
      </c>
      <c r="X114" s="31">
        <v>0</v>
      </c>
      <c r="Y114" s="30" t="s">
        <v>281</v>
      </c>
      <c r="Z114" s="32" t="s">
        <v>34</v>
      </c>
      <c r="AA114" s="32" t="s">
        <v>293</v>
      </c>
      <c r="AB114" s="32" t="s">
        <v>48</v>
      </c>
      <c r="AC114" s="33" t="s">
        <v>280</v>
      </c>
    </row>
    <row r="115" spans="1:29" ht="96.75" customHeight="1" x14ac:dyDescent="0.25">
      <c r="A115" s="21" t="s">
        <v>294</v>
      </c>
      <c r="B115" s="22" t="s">
        <v>295</v>
      </c>
      <c r="C115" s="23"/>
      <c r="D115" s="23" t="s">
        <v>214</v>
      </c>
      <c r="E115" s="27">
        <v>0</v>
      </c>
      <c r="F115" s="27">
        <v>0</v>
      </c>
      <c r="G115" s="27">
        <v>0</v>
      </c>
      <c r="H115" s="27">
        <v>0</v>
      </c>
      <c r="I115" s="27">
        <v>0</v>
      </c>
      <c r="J115" s="27">
        <v>0</v>
      </c>
      <c r="K115" s="27">
        <v>0</v>
      </c>
      <c r="L115" s="27">
        <v>0</v>
      </c>
      <c r="M115" s="27">
        <v>0</v>
      </c>
      <c r="N115" s="27">
        <v>0</v>
      </c>
      <c r="O115" s="27">
        <v>0</v>
      </c>
      <c r="P115" s="27">
        <v>0</v>
      </c>
      <c r="Q115" s="27">
        <v>0</v>
      </c>
      <c r="R115" s="27">
        <v>0</v>
      </c>
      <c r="S115" s="27">
        <v>0</v>
      </c>
      <c r="T115" s="27">
        <v>0</v>
      </c>
      <c r="U115" s="27">
        <v>0</v>
      </c>
      <c r="V115" s="27">
        <v>0</v>
      </c>
      <c r="W115" s="27">
        <v>0</v>
      </c>
      <c r="X115" s="27">
        <v>0</v>
      </c>
      <c r="Y115" s="23"/>
      <c r="Z115" s="25"/>
      <c r="AA115" s="25"/>
      <c r="AB115" s="25"/>
      <c r="AC115" s="26"/>
    </row>
    <row r="116" spans="1:29" ht="33.75" customHeight="1" x14ac:dyDescent="0.25">
      <c r="A116" s="21" t="s">
        <v>296</v>
      </c>
      <c r="B116" s="22" t="s">
        <v>285</v>
      </c>
      <c r="C116" s="23"/>
      <c r="D116" s="23" t="s">
        <v>214</v>
      </c>
      <c r="E116" s="27">
        <v>0</v>
      </c>
      <c r="F116" s="27">
        <v>0</v>
      </c>
      <c r="G116" s="27">
        <v>0</v>
      </c>
      <c r="H116" s="27">
        <v>0</v>
      </c>
      <c r="I116" s="27">
        <v>0</v>
      </c>
      <c r="J116" s="27">
        <v>0</v>
      </c>
      <c r="K116" s="27">
        <v>0</v>
      </c>
      <c r="L116" s="27">
        <v>0</v>
      </c>
      <c r="M116" s="27">
        <v>0</v>
      </c>
      <c r="N116" s="27">
        <v>0</v>
      </c>
      <c r="O116" s="27">
        <v>0</v>
      </c>
      <c r="P116" s="27">
        <v>0</v>
      </c>
      <c r="Q116" s="27">
        <v>0</v>
      </c>
      <c r="R116" s="27">
        <v>0</v>
      </c>
      <c r="S116" s="27">
        <v>0</v>
      </c>
      <c r="T116" s="27">
        <v>0</v>
      </c>
      <c r="U116" s="27">
        <v>0</v>
      </c>
      <c r="V116" s="27">
        <v>0</v>
      </c>
      <c r="W116" s="27">
        <v>0</v>
      </c>
      <c r="X116" s="27">
        <v>0</v>
      </c>
      <c r="Y116" s="23"/>
      <c r="Z116" s="25"/>
      <c r="AA116" s="25"/>
      <c r="AB116" s="25"/>
      <c r="AC116" s="26"/>
    </row>
    <row r="117" spans="1:29" ht="53.25" customHeight="1" x14ac:dyDescent="0.25">
      <c r="A117" s="21" t="s">
        <v>297</v>
      </c>
      <c r="B117" s="22" t="s">
        <v>287</v>
      </c>
      <c r="C117" s="23"/>
      <c r="D117" s="23" t="s">
        <v>214</v>
      </c>
      <c r="E117" s="27">
        <v>0</v>
      </c>
      <c r="F117" s="27">
        <v>0</v>
      </c>
      <c r="G117" s="27">
        <v>0</v>
      </c>
      <c r="H117" s="27">
        <v>0</v>
      </c>
      <c r="I117" s="27">
        <v>0</v>
      </c>
      <c r="J117" s="27">
        <v>0</v>
      </c>
      <c r="K117" s="27">
        <v>0</v>
      </c>
      <c r="L117" s="27">
        <v>0</v>
      </c>
      <c r="M117" s="27">
        <v>0</v>
      </c>
      <c r="N117" s="27">
        <v>0</v>
      </c>
      <c r="O117" s="27">
        <v>0</v>
      </c>
      <c r="P117" s="27">
        <v>0</v>
      </c>
      <c r="Q117" s="27">
        <v>0</v>
      </c>
      <c r="R117" s="27">
        <v>0</v>
      </c>
      <c r="S117" s="27">
        <v>0</v>
      </c>
      <c r="T117" s="27">
        <v>0</v>
      </c>
      <c r="U117" s="27">
        <v>0</v>
      </c>
      <c r="V117" s="27">
        <v>0</v>
      </c>
      <c r="W117" s="27">
        <v>0</v>
      </c>
      <c r="X117" s="27">
        <v>0</v>
      </c>
      <c r="Y117" s="23"/>
      <c r="Z117" s="25"/>
      <c r="AA117" s="25"/>
      <c r="AB117" s="25"/>
      <c r="AC117" s="26"/>
    </row>
    <row r="118" spans="1:29" ht="59.25" customHeight="1" x14ac:dyDescent="0.25">
      <c r="A118" s="21" t="s">
        <v>298</v>
      </c>
      <c r="B118" s="22" t="s">
        <v>289</v>
      </c>
      <c r="C118" s="23"/>
      <c r="D118" s="23" t="s">
        <v>214</v>
      </c>
      <c r="E118" s="27">
        <v>0</v>
      </c>
      <c r="F118" s="27">
        <v>0</v>
      </c>
      <c r="G118" s="27">
        <v>0</v>
      </c>
      <c r="H118" s="27">
        <v>0</v>
      </c>
      <c r="I118" s="27">
        <v>0</v>
      </c>
      <c r="J118" s="27">
        <v>0</v>
      </c>
      <c r="K118" s="27">
        <v>0</v>
      </c>
      <c r="L118" s="27">
        <v>0</v>
      </c>
      <c r="M118" s="27">
        <v>0</v>
      </c>
      <c r="N118" s="27">
        <v>0</v>
      </c>
      <c r="O118" s="27">
        <v>0</v>
      </c>
      <c r="P118" s="27">
        <v>0</v>
      </c>
      <c r="Q118" s="27">
        <v>0</v>
      </c>
      <c r="R118" s="27">
        <v>0</v>
      </c>
      <c r="S118" s="27">
        <v>0</v>
      </c>
      <c r="T118" s="27">
        <v>0</v>
      </c>
      <c r="U118" s="27">
        <v>0</v>
      </c>
      <c r="V118" s="27">
        <v>0</v>
      </c>
      <c r="W118" s="27">
        <v>0</v>
      </c>
      <c r="X118" s="27">
        <v>0</v>
      </c>
      <c r="Y118" s="23"/>
      <c r="Z118" s="25"/>
      <c r="AA118" s="25"/>
      <c r="AB118" s="25"/>
      <c r="AC118" s="26"/>
    </row>
    <row r="119" spans="1:29" ht="61.5" customHeight="1" x14ac:dyDescent="0.25">
      <c r="A119" s="15" t="s">
        <v>299</v>
      </c>
      <c r="B119" s="16" t="s">
        <v>300</v>
      </c>
      <c r="C119" s="17"/>
      <c r="D119" s="17"/>
      <c r="E119" s="18">
        <f t="shared" ref="E119:X119" si="54">SUM(E120:E120)</f>
        <v>156788.1</v>
      </c>
      <c r="F119" s="18">
        <f t="shared" si="54"/>
        <v>72763</v>
      </c>
      <c r="G119" s="18">
        <f t="shared" si="54"/>
        <v>0</v>
      </c>
      <c r="H119" s="18">
        <f t="shared" si="54"/>
        <v>0</v>
      </c>
      <c r="I119" s="18">
        <f t="shared" si="54"/>
        <v>0</v>
      </c>
      <c r="J119" s="18">
        <f t="shared" si="54"/>
        <v>55069</v>
      </c>
      <c r="K119" s="18">
        <f t="shared" si="54"/>
        <v>28956.1</v>
      </c>
      <c r="L119" s="18">
        <f t="shared" si="54"/>
        <v>0</v>
      </c>
      <c r="M119" s="18">
        <f t="shared" si="54"/>
        <v>0</v>
      </c>
      <c r="N119" s="18">
        <f t="shared" si="54"/>
        <v>0</v>
      </c>
      <c r="O119" s="18">
        <f t="shared" si="54"/>
        <v>149559.12</v>
      </c>
      <c r="P119" s="18">
        <f t="shared" si="54"/>
        <v>69663</v>
      </c>
      <c r="Q119" s="18">
        <f t="shared" si="54"/>
        <v>0</v>
      </c>
      <c r="R119" s="18">
        <f t="shared" si="54"/>
        <v>0</v>
      </c>
      <c r="S119" s="18">
        <f t="shared" si="54"/>
        <v>0</v>
      </c>
      <c r="T119" s="18">
        <f t="shared" si="54"/>
        <v>50940.12</v>
      </c>
      <c r="U119" s="18">
        <f t="shared" si="54"/>
        <v>28956</v>
      </c>
      <c r="V119" s="18">
        <f t="shared" si="54"/>
        <v>0</v>
      </c>
      <c r="W119" s="18">
        <f t="shared" si="54"/>
        <v>0</v>
      </c>
      <c r="X119" s="18">
        <f t="shared" si="54"/>
        <v>0</v>
      </c>
      <c r="Y119" s="17"/>
      <c r="Z119" s="19"/>
      <c r="AA119" s="19"/>
      <c r="AB119" s="19"/>
      <c r="AC119" s="20"/>
    </row>
    <row r="120" spans="1:29" ht="98.25" customHeight="1" x14ac:dyDescent="0.25">
      <c r="A120" s="21" t="s">
        <v>301</v>
      </c>
      <c r="B120" s="22" t="s">
        <v>302</v>
      </c>
      <c r="C120" s="23"/>
      <c r="D120" s="23" t="s">
        <v>185</v>
      </c>
      <c r="E120" s="24">
        <f>SUM(E121:E121)+156788.1</f>
        <v>156788.1</v>
      </c>
      <c r="F120" s="24">
        <f>SUM(F121:F121)+72763</f>
        <v>72763</v>
      </c>
      <c r="G120" s="24">
        <f>SUM(G121:G121)</f>
        <v>0</v>
      </c>
      <c r="H120" s="24">
        <f>SUM(H121:H121)</f>
        <v>0</v>
      </c>
      <c r="I120" s="24">
        <f>SUM(I121:I121)</f>
        <v>0</v>
      </c>
      <c r="J120" s="24">
        <f>SUM(J121:J121)+55069</f>
        <v>55069</v>
      </c>
      <c r="K120" s="24">
        <f>SUM(K121:K121)+28956.1</f>
        <v>28956.1</v>
      </c>
      <c r="L120" s="24">
        <f>SUM(L121:L121)</f>
        <v>0</v>
      </c>
      <c r="M120" s="24">
        <f>SUM(M121:M121)</f>
        <v>0</v>
      </c>
      <c r="N120" s="24">
        <f>SUM(N121:N121)</f>
        <v>0</v>
      </c>
      <c r="O120" s="24">
        <f>SUM(O121:O121)+149559.12</f>
        <v>149559.12</v>
      </c>
      <c r="P120" s="24">
        <f>SUM(P121:P121)+69663</f>
        <v>69663</v>
      </c>
      <c r="Q120" s="24">
        <f>SUM(Q121:Q121)</f>
        <v>0</v>
      </c>
      <c r="R120" s="24">
        <f>SUM(R121:R121)</f>
        <v>0</v>
      </c>
      <c r="S120" s="24">
        <f>SUM(S121:S121)</f>
        <v>0</v>
      </c>
      <c r="T120" s="24">
        <f>SUM(T121:T121)+50940.12</f>
        <v>50940.12</v>
      </c>
      <c r="U120" s="24">
        <f>SUM(U121:U121)+28956</f>
        <v>28956</v>
      </c>
      <c r="V120" s="24">
        <f>SUM(V121:V121)</f>
        <v>0</v>
      </c>
      <c r="W120" s="24">
        <f>SUM(W121:W121)</f>
        <v>0</v>
      </c>
      <c r="X120" s="24">
        <f>SUM(X121:X121)</f>
        <v>0</v>
      </c>
      <c r="Y120" s="23" t="s">
        <v>303</v>
      </c>
      <c r="Z120" s="25" t="s">
        <v>304</v>
      </c>
      <c r="AA120" s="25" t="s">
        <v>305</v>
      </c>
      <c r="AB120" s="25" t="s">
        <v>306</v>
      </c>
      <c r="AC120" s="26"/>
    </row>
    <row r="121" spans="1:29" ht="63" customHeight="1" x14ac:dyDescent="0.25">
      <c r="A121" s="21" t="s">
        <v>307</v>
      </c>
      <c r="B121" s="22" t="s">
        <v>308</v>
      </c>
      <c r="C121" s="23"/>
      <c r="D121" s="23" t="s">
        <v>185</v>
      </c>
      <c r="E121" s="27">
        <v>0</v>
      </c>
      <c r="F121" s="27">
        <v>0</v>
      </c>
      <c r="G121" s="27">
        <v>0</v>
      </c>
      <c r="H121" s="27">
        <v>0</v>
      </c>
      <c r="I121" s="27">
        <v>0</v>
      </c>
      <c r="J121" s="27">
        <v>0</v>
      </c>
      <c r="K121" s="27">
        <v>0</v>
      </c>
      <c r="L121" s="27">
        <v>0</v>
      </c>
      <c r="M121" s="27">
        <v>0</v>
      </c>
      <c r="N121" s="27">
        <v>0</v>
      </c>
      <c r="O121" s="27">
        <v>0</v>
      </c>
      <c r="P121" s="27">
        <v>0</v>
      </c>
      <c r="Q121" s="27">
        <v>0</v>
      </c>
      <c r="R121" s="27">
        <v>0</v>
      </c>
      <c r="S121" s="27">
        <v>0</v>
      </c>
      <c r="T121" s="27">
        <v>0</v>
      </c>
      <c r="U121" s="27">
        <v>0</v>
      </c>
      <c r="V121" s="27">
        <v>0</v>
      </c>
      <c r="W121" s="27">
        <v>0</v>
      </c>
      <c r="X121" s="27">
        <v>0</v>
      </c>
      <c r="Y121" s="23"/>
      <c r="Z121" s="25"/>
      <c r="AA121" s="25"/>
      <c r="AB121" s="25"/>
      <c r="AC121" s="26"/>
    </row>
    <row r="122" spans="1:29" ht="55.5" customHeight="1" x14ac:dyDescent="0.25">
      <c r="A122" s="9" t="s">
        <v>309</v>
      </c>
      <c r="B122" s="10" t="s">
        <v>310</v>
      </c>
      <c r="C122" s="11" t="s">
        <v>311</v>
      </c>
      <c r="D122" s="11" t="s">
        <v>204</v>
      </c>
      <c r="E122" s="12">
        <f t="shared" ref="E122:X122" si="55">SUM(E123:E123)</f>
        <v>854206</v>
      </c>
      <c r="F122" s="12">
        <f t="shared" si="55"/>
        <v>38057</v>
      </c>
      <c r="G122" s="12">
        <f t="shared" si="55"/>
        <v>0</v>
      </c>
      <c r="H122" s="12">
        <f t="shared" si="55"/>
        <v>0</v>
      </c>
      <c r="I122" s="12">
        <f t="shared" si="55"/>
        <v>0</v>
      </c>
      <c r="J122" s="12">
        <f t="shared" si="55"/>
        <v>6166</v>
      </c>
      <c r="K122" s="12">
        <f t="shared" si="55"/>
        <v>744343</v>
      </c>
      <c r="L122" s="12">
        <f t="shared" si="55"/>
        <v>65640</v>
      </c>
      <c r="M122" s="12">
        <f t="shared" si="55"/>
        <v>0</v>
      </c>
      <c r="N122" s="12">
        <f t="shared" si="55"/>
        <v>0</v>
      </c>
      <c r="O122" s="12">
        <f t="shared" si="55"/>
        <v>1040318.44</v>
      </c>
      <c r="P122" s="12">
        <f t="shared" si="55"/>
        <v>90835.35</v>
      </c>
      <c r="Q122" s="12">
        <f t="shared" si="55"/>
        <v>0</v>
      </c>
      <c r="R122" s="12">
        <f t="shared" si="55"/>
        <v>0</v>
      </c>
      <c r="S122" s="12">
        <f t="shared" si="55"/>
        <v>0</v>
      </c>
      <c r="T122" s="12">
        <f t="shared" si="55"/>
        <v>6165.27</v>
      </c>
      <c r="U122" s="12">
        <f t="shared" si="55"/>
        <v>852550.59</v>
      </c>
      <c r="V122" s="12">
        <f t="shared" si="55"/>
        <v>90767.23</v>
      </c>
      <c r="W122" s="12">
        <f t="shared" si="55"/>
        <v>0</v>
      </c>
      <c r="X122" s="12">
        <f t="shared" si="55"/>
        <v>0</v>
      </c>
      <c r="Y122" s="11"/>
      <c r="Z122" s="13"/>
      <c r="AA122" s="13"/>
      <c r="AB122" s="13"/>
      <c r="AC122" s="14"/>
    </row>
    <row r="123" spans="1:29" ht="69.75" customHeight="1" x14ac:dyDescent="0.25">
      <c r="A123" s="15" t="s">
        <v>312</v>
      </c>
      <c r="B123" s="16" t="s">
        <v>1541</v>
      </c>
      <c r="C123" s="17"/>
      <c r="D123" s="17" t="s">
        <v>204</v>
      </c>
      <c r="E123" s="18">
        <f t="shared" ref="E123:X123" si="56">E124+E129+E133+E135+E137+E139</f>
        <v>854206</v>
      </c>
      <c r="F123" s="18">
        <f t="shared" si="56"/>
        <v>38057</v>
      </c>
      <c r="G123" s="18">
        <f t="shared" si="56"/>
        <v>0</v>
      </c>
      <c r="H123" s="18">
        <f t="shared" si="56"/>
        <v>0</v>
      </c>
      <c r="I123" s="18">
        <f t="shared" si="56"/>
        <v>0</v>
      </c>
      <c r="J123" s="18">
        <f t="shared" si="56"/>
        <v>6166</v>
      </c>
      <c r="K123" s="18">
        <f t="shared" si="56"/>
        <v>744343</v>
      </c>
      <c r="L123" s="18">
        <f t="shared" si="56"/>
        <v>65640</v>
      </c>
      <c r="M123" s="18">
        <f t="shared" si="56"/>
        <v>0</v>
      </c>
      <c r="N123" s="18">
        <f t="shared" si="56"/>
        <v>0</v>
      </c>
      <c r="O123" s="18">
        <f t="shared" si="56"/>
        <v>1040318.44</v>
      </c>
      <c r="P123" s="18">
        <f t="shared" si="56"/>
        <v>90835.35</v>
      </c>
      <c r="Q123" s="18">
        <f t="shared" si="56"/>
        <v>0</v>
      </c>
      <c r="R123" s="18">
        <f t="shared" si="56"/>
        <v>0</v>
      </c>
      <c r="S123" s="18">
        <f t="shared" si="56"/>
        <v>0</v>
      </c>
      <c r="T123" s="18">
        <f t="shared" si="56"/>
        <v>6165.27</v>
      </c>
      <c r="U123" s="18">
        <f t="shared" si="56"/>
        <v>852550.59</v>
      </c>
      <c r="V123" s="18">
        <f t="shared" si="56"/>
        <v>90767.23</v>
      </c>
      <c r="W123" s="18">
        <f t="shared" si="56"/>
        <v>0</v>
      </c>
      <c r="X123" s="18">
        <f t="shared" si="56"/>
        <v>0</v>
      </c>
      <c r="Y123" s="17"/>
      <c r="Z123" s="19"/>
      <c r="AA123" s="19"/>
      <c r="AB123" s="19"/>
      <c r="AC123" s="20"/>
    </row>
    <row r="124" spans="1:29" ht="98.25" customHeight="1" x14ac:dyDescent="0.25">
      <c r="A124" s="21" t="s">
        <v>313</v>
      </c>
      <c r="B124" s="22" t="s">
        <v>314</v>
      </c>
      <c r="C124" s="23"/>
      <c r="D124" s="23" t="s">
        <v>204</v>
      </c>
      <c r="E124" s="24">
        <f>SUM(E125:E128)+242510</f>
        <v>242510</v>
      </c>
      <c r="F124" s="24">
        <f>SUM(F125:F128)+16035</f>
        <v>16035</v>
      </c>
      <c r="G124" s="24">
        <f>SUM(G125:G128)</f>
        <v>0</v>
      </c>
      <c r="H124" s="24">
        <f>SUM(H125:H128)</f>
        <v>0</v>
      </c>
      <c r="I124" s="24">
        <f>SUM(I125:I128)</f>
        <v>0</v>
      </c>
      <c r="J124" s="24">
        <f>SUM(J125:J128)+6166</f>
        <v>6166</v>
      </c>
      <c r="K124" s="24">
        <f>SUM(K125:K128)+187262</f>
        <v>187262</v>
      </c>
      <c r="L124" s="24">
        <f>SUM(L125:L128)+33047</f>
        <v>33047</v>
      </c>
      <c r="M124" s="24">
        <f>SUM(M125:M128)</f>
        <v>0</v>
      </c>
      <c r="N124" s="24">
        <f>SUM(N125:N128)</f>
        <v>0</v>
      </c>
      <c r="O124" s="24">
        <f>SUM(O125:O128)+428625.37</f>
        <v>428625.37</v>
      </c>
      <c r="P124" s="24">
        <f>SUM(P125:P128)+68813.35</f>
        <v>68813.350000000006</v>
      </c>
      <c r="Q124" s="24">
        <f>SUM(Q125:Q128)</f>
        <v>0</v>
      </c>
      <c r="R124" s="24">
        <f>SUM(R125:R128)</f>
        <v>0</v>
      </c>
      <c r="S124" s="24">
        <f>SUM(S125:S128)</f>
        <v>0</v>
      </c>
      <c r="T124" s="24">
        <f>SUM(T125:T128)+6165.27</f>
        <v>6165.27</v>
      </c>
      <c r="U124" s="24">
        <f>SUM(U125:U128)+295471.05</f>
        <v>295471.05</v>
      </c>
      <c r="V124" s="24">
        <f>SUM(V125:V128)+58175.7</f>
        <v>58175.7</v>
      </c>
      <c r="W124" s="24">
        <f>SUM(W125:W128)</f>
        <v>0</v>
      </c>
      <c r="X124" s="24">
        <f>SUM(X125:X128)</f>
        <v>0</v>
      </c>
      <c r="Y124" s="23" t="s">
        <v>315</v>
      </c>
      <c r="Z124" s="25" t="s">
        <v>34</v>
      </c>
      <c r="AA124" s="25" t="s">
        <v>316</v>
      </c>
      <c r="AB124" s="25" t="s">
        <v>316</v>
      </c>
      <c r="AC124" s="26" t="s">
        <v>317</v>
      </c>
    </row>
    <row r="125" spans="1:29" ht="40.5" x14ac:dyDescent="0.25">
      <c r="A125" s="28"/>
      <c r="B125" s="29"/>
      <c r="C125" s="30"/>
      <c r="D125" s="30"/>
      <c r="E125" s="31">
        <v>0</v>
      </c>
      <c r="F125" s="31">
        <v>0</v>
      </c>
      <c r="G125" s="31">
        <v>0</v>
      </c>
      <c r="H125" s="31">
        <v>0</v>
      </c>
      <c r="I125" s="31">
        <v>0</v>
      </c>
      <c r="J125" s="31">
        <v>0</v>
      </c>
      <c r="K125" s="31">
        <v>0</v>
      </c>
      <c r="L125" s="31">
        <v>0</v>
      </c>
      <c r="M125" s="31">
        <v>0</v>
      </c>
      <c r="N125" s="31">
        <v>0</v>
      </c>
      <c r="O125" s="31">
        <v>0</v>
      </c>
      <c r="P125" s="31">
        <v>0</v>
      </c>
      <c r="Q125" s="31">
        <v>0</v>
      </c>
      <c r="R125" s="31">
        <v>0</v>
      </c>
      <c r="S125" s="31">
        <v>0</v>
      </c>
      <c r="T125" s="31">
        <v>0</v>
      </c>
      <c r="U125" s="31">
        <v>0</v>
      </c>
      <c r="V125" s="31">
        <v>0</v>
      </c>
      <c r="W125" s="31">
        <v>0</v>
      </c>
      <c r="X125" s="31">
        <v>0</v>
      </c>
      <c r="Y125" s="30" t="s">
        <v>318</v>
      </c>
      <c r="Z125" s="32" t="s">
        <v>304</v>
      </c>
      <c r="AA125" s="32" t="s">
        <v>319</v>
      </c>
      <c r="AB125" s="32" t="s">
        <v>319</v>
      </c>
      <c r="AC125" s="33" t="s">
        <v>320</v>
      </c>
    </row>
    <row r="126" spans="1:29" ht="40.5" x14ac:dyDescent="0.25">
      <c r="A126" s="28"/>
      <c r="B126" s="29"/>
      <c r="C126" s="30"/>
      <c r="D126" s="30"/>
      <c r="E126" s="31">
        <v>0</v>
      </c>
      <c r="F126" s="31">
        <v>0</v>
      </c>
      <c r="G126" s="31">
        <v>0</v>
      </c>
      <c r="H126" s="31">
        <v>0</v>
      </c>
      <c r="I126" s="31">
        <v>0</v>
      </c>
      <c r="J126" s="31">
        <v>0</v>
      </c>
      <c r="K126" s="31">
        <v>0</v>
      </c>
      <c r="L126" s="31">
        <v>0</v>
      </c>
      <c r="M126" s="31">
        <v>0</v>
      </c>
      <c r="N126" s="31">
        <v>0</v>
      </c>
      <c r="O126" s="31">
        <v>0</v>
      </c>
      <c r="P126" s="31">
        <v>0</v>
      </c>
      <c r="Q126" s="31">
        <v>0</v>
      </c>
      <c r="R126" s="31">
        <v>0</v>
      </c>
      <c r="S126" s="31">
        <v>0</v>
      </c>
      <c r="T126" s="31">
        <v>0</v>
      </c>
      <c r="U126" s="31">
        <v>0</v>
      </c>
      <c r="V126" s="31">
        <v>0</v>
      </c>
      <c r="W126" s="31">
        <v>0</v>
      </c>
      <c r="X126" s="31">
        <v>0</v>
      </c>
      <c r="Y126" s="30" t="s">
        <v>321</v>
      </c>
      <c r="Z126" s="32" t="s">
        <v>322</v>
      </c>
      <c r="AA126" s="32" t="s">
        <v>323</v>
      </c>
      <c r="AB126" s="32" t="s">
        <v>323</v>
      </c>
      <c r="AC126" s="33"/>
    </row>
    <row r="127" spans="1:29" ht="62.25" customHeight="1" x14ac:dyDescent="0.25">
      <c r="A127" s="21" t="s">
        <v>324</v>
      </c>
      <c r="B127" s="22" t="s">
        <v>325</v>
      </c>
      <c r="C127" s="23"/>
      <c r="D127" s="23" t="s">
        <v>204</v>
      </c>
      <c r="E127" s="27">
        <v>0</v>
      </c>
      <c r="F127" s="27">
        <v>0</v>
      </c>
      <c r="G127" s="27">
        <v>0</v>
      </c>
      <c r="H127" s="27">
        <v>0</v>
      </c>
      <c r="I127" s="27">
        <v>0</v>
      </c>
      <c r="J127" s="27">
        <v>0</v>
      </c>
      <c r="K127" s="27">
        <v>0</v>
      </c>
      <c r="L127" s="27">
        <v>0</v>
      </c>
      <c r="M127" s="27">
        <v>0</v>
      </c>
      <c r="N127" s="27">
        <v>0</v>
      </c>
      <c r="O127" s="27">
        <v>0</v>
      </c>
      <c r="P127" s="27">
        <v>0</v>
      </c>
      <c r="Q127" s="27">
        <v>0</v>
      </c>
      <c r="R127" s="27">
        <v>0</v>
      </c>
      <c r="S127" s="27">
        <v>0</v>
      </c>
      <c r="T127" s="27">
        <v>0</v>
      </c>
      <c r="U127" s="27">
        <v>0</v>
      </c>
      <c r="V127" s="27">
        <v>0</v>
      </c>
      <c r="W127" s="27">
        <v>0</v>
      </c>
      <c r="X127" s="27">
        <v>0</v>
      </c>
      <c r="Y127" s="23"/>
      <c r="Z127" s="25"/>
      <c r="AA127" s="25"/>
      <c r="AB127" s="25"/>
      <c r="AC127" s="26"/>
    </row>
    <row r="128" spans="1:29" ht="55.5" customHeight="1" x14ac:dyDescent="0.25">
      <c r="A128" s="21" t="s">
        <v>326</v>
      </c>
      <c r="B128" s="22" t="s">
        <v>327</v>
      </c>
      <c r="C128" s="23"/>
      <c r="D128" s="23" t="s">
        <v>204</v>
      </c>
      <c r="E128" s="27">
        <v>0</v>
      </c>
      <c r="F128" s="27">
        <v>0</v>
      </c>
      <c r="G128" s="27">
        <v>0</v>
      </c>
      <c r="H128" s="27">
        <v>0</v>
      </c>
      <c r="I128" s="27">
        <v>0</v>
      </c>
      <c r="J128" s="27">
        <v>0</v>
      </c>
      <c r="K128" s="27">
        <v>0</v>
      </c>
      <c r="L128" s="27">
        <v>0</v>
      </c>
      <c r="M128" s="27">
        <v>0</v>
      </c>
      <c r="N128" s="27">
        <v>0</v>
      </c>
      <c r="O128" s="27">
        <v>0</v>
      </c>
      <c r="P128" s="27">
        <v>0</v>
      </c>
      <c r="Q128" s="27">
        <v>0</v>
      </c>
      <c r="R128" s="27">
        <v>0</v>
      </c>
      <c r="S128" s="27">
        <v>0</v>
      </c>
      <c r="T128" s="27">
        <v>0</v>
      </c>
      <c r="U128" s="27">
        <v>0</v>
      </c>
      <c r="V128" s="27">
        <v>0</v>
      </c>
      <c r="W128" s="27">
        <v>0</v>
      </c>
      <c r="X128" s="27">
        <v>0</v>
      </c>
      <c r="Y128" s="23"/>
      <c r="Z128" s="25"/>
      <c r="AA128" s="25"/>
      <c r="AB128" s="25"/>
      <c r="AC128" s="26"/>
    </row>
    <row r="129" spans="1:29" ht="81" customHeight="1" x14ac:dyDescent="0.25">
      <c r="A129" s="21" t="s">
        <v>328</v>
      </c>
      <c r="B129" s="22" t="s">
        <v>329</v>
      </c>
      <c r="C129" s="23" t="s">
        <v>311</v>
      </c>
      <c r="D129" s="23" t="s">
        <v>204</v>
      </c>
      <c r="E129" s="24">
        <f>SUM(E130:E132)+372396</f>
        <v>372396</v>
      </c>
      <c r="F129" s="24">
        <f>SUM(F130:F132)</f>
        <v>0</v>
      </c>
      <c r="G129" s="24">
        <f>SUM(G130:G132)</f>
        <v>0</v>
      </c>
      <c r="H129" s="24">
        <f>SUM(H130:H132)</f>
        <v>0</v>
      </c>
      <c r="I129" s="24">
        <f>SUM(I130:I132)</f>
        <v>0</v>
      </c>
      <c r="J129" s="24">
        <f>SUM(J130:J132)</f>
        <v>0</v>
      </c>
      <c r="K129" s="24">
        <f>SUM(K130:K132)+372396</f>
        <v>372396</v>
      </c>
      <c r="L129" s="24">
        <f>SUM(L130:L132)</f>
        <v>0</v>
      </c>
      <c r="M129" s="24">
        <f>SUM(M130:M132)</f>
        <v>0</v>
      </c>
      <c r="N129" s="24">
        <f>SUM(N130:N132)</f>
        <v>0</v>
      </c>
      <c r="O129" s="24">
        <f>SUM(O130:O132)+372394.56</f>
        <v>372394.56</v>
      </c>
      <c r="P129" s="24">
        <f>SUM(P130:P132)</f>
        <v>0</v>
      </c>
      <c r="Q129" s="24">
        <f>SUM(Q130:Q132)</f>
        <v>0</v>
      </c>
      <c r="R129" s="24">
        <f>SUM(R130:R132)</f>
        <v>0</v>
      </c>
      <c r="S129" s="24">
        <f>SUM(S130:S132)</f>
        <v>0</v>
      </c>
      <c r="T129" s="24">
        <f>SUM(T130:T132)</f>
        <v>0</v>
      </c>
      <c r="U129" s="24">
        <f>SUM(U130:U132)+372394.56</f>
        <v>372394.56</v>
      </c>
      <c r="V129" s="24">
        <f>SUM(V130:V132)</f>
        <v>0</v>
      </c>
      <c r="W129" s="24">
        <f>SUM(W130:W132)</f>
        <v>0</v>
      </c>
      <c r="X129" s="24">
        <f>SUM(X130:X132)</f>
        <v>0</v>
      </c>
      <c r="Y129" s="23" t="s">
        <v>330</v>
      </c>
      <c r="Z129" s="25" t="s">
        <v>322</v>
      </c>
      <c r="AA129" s="25" t="s">
        <v>48</v>
      </c>
      <c r="AB129" s="25" t="s">
        <v>331</v>
      </c>
      <c r="AC129" s="26" t="s">
        <v>332</v>
      </c>
    </row>
    <row r="130" spans="1:29" ht="89.25" customHeight="1" x14ac:dyDescent="0.25">
      <c r="A130" s="28"/>
      <c r="B130" s="29"/>
      <c r="C130" s="30"/>
      <c r="D130" s="30"/>
      <c r="E130" s="31">
        <v>0</v>
      </c>
      <c r="F130" s="31">
        <v>0</v>
      </c>
      <c r="G130" s="31">
        <v>0</v>
      </c>
      <c r="H130" s="31">
        <v>0</v>
      </c>
      <c r="I130" s="31">
        <v>0</v>
      </c>
      <c r="J130" s="31">
        <v>0</v>
      </c>
      <c r="K130" s="31">
        <v>0</v>
      </c>
      <c r="L130" s="31">
        <v>0</v>
      </c>
      <c r="M130" s="31">
        <v>0</v>
      </c>
      <c r="N130" s="31">
        <v>0</v>
      </c>
      <c r="O130" s="31">
        <v>0</v>
      </c>
      <c r="P130" s="31">
        <v>0</v>
      </c>
      <c r="Q130" s="31">
        <v>0</v>
      </c>
      <c r="R130" s="31">
        <v>0</v>
      </c>
      <c r="S130" s="31">
        <v>0</v>
      </c>
      <c r="T130" s="31">
        <v>0</v>
      </c>
      <c r="U130" s="31">
        <v>0</v>
      </c>
      <c r="V130" s="31">
        <v>0</v>
      </c>
      <c r="W130" s="31">
        <v>0</v>
      </c>
      <c r="X130" s="31">
        <v>0</v>
      </c>
      <c r="Y130" s="30" t="s">
        <v>318</v>
      </c>
      <c r="Z130" s="32" t="s">
        <v>304</v>
      </c>
      <c r="AA130" s="32" t="s">
        <v>333</v>
      </c>
      <c r="AB130" s="32" t="s">
        <v>334</v>
      </c>
      <c r="AC130" s="33" t="s">
        <v>335</v>
      </c>
    </row>
    <row r="131" spans="1:29" ht="58.5" customHeight="1" x14ac:dyDescent="0.25">
      <c r="A131" s="21" t="s">
        <v>336</v>
      </c>
      <c r="B131" s="22" t="s">
        <v>337</v>
      </c>
      <c r="C131" s="23"/>
      <c r="D131" s="23" t="s">
        <v>204</v>
      </c>
      <c r="E131" s="27">
        <v>0</v>
      </c>
      <c r="F131" s="27">
        <v>0</v>
      </c>
      <c r="G131" s="27">
        <v>0</v>
      </c>
      <c r="H131" s="27">
        <v>0</v>
      </c>
      <c r="I131" s="27">
        <v>0</v>
      </c>
      <c r="J131" s="27">
        <v>0</v>
      </c>
      <c r="K131" s="27">
        <v>0</v>
      </c>
      <c r="L131" s="27">
        <v>0</v>
      </c>
      <c r="M131" s="27">
        <v>0</v>
      </c>
      <c r="N131" s="27">
        <v>0</v>
      </c>
      <c r="O131" s="27">
        <v>0</v>
      </c>
      <c r="P131" s="27">
        <v>0</v>
      </c>
      <c r="Q131" s="27">
        <v>0</v>
      </c>
      <c r="R131" s="27">
        <v>0</v>
      </c>
      <c r="S131" s="27">
        <v>0</v>
      </c>
      <c r="T131" s="27">
        <v>0</v>
      </c>
      <c r="U131" s="27">
        <v>0</v>
      </c>
      <c r="V131" s="27">
        <v>0</v>
      </c>
      <c r="W131" s="27">
        <v>0</v>
      </c>
      <c r="X131" s="27">
        <v>0</v>
      </c>
      <c r="Y131" s="23"/>
      <c r="Z131" s="25"/>
      <c r="AA131" s="25"/>
      <c r="AB131" s="25"/>
      <c r="AC131" s="26"/>
    </row>
    <row r="132" spans="1:29" ht="74.25" customHeight="1" x14ac:dyDescent="0.25">
      <c r="A132" s="21" t="s">
        <v>338</v>
      </c>
      <c r="B132" s="22" t="s">
        <v>339</v>
      </c>
      <c r="C132" s="23"/>
      <c r="D132" s="23" t="s">
        <v>204</v>
      </c>
      <c r="E132" s="27">
        <v>0</v>
      </c>
      <c r="F132" s="27">
        <v>0</v>
      </c>
      <c r="G132" s="27">
        <v>0</v>
      </c>
      <c r="H132" s="27">
        <v>0</v>
      </c>
      <c r="I132" s="27">
        <v>0</v>
      </c>
      <c r="J132" s="27">
        <v>0</v>
      </c>
      <c r="K132" s="27">
        <v>0</v>
      </c>
      <c r="L132" s="27">
        <v>0</v>
      </c>
      <c r="M132" s="27">
        <v>0</v>
      </c>
      <c r="N132" s="27">
        <v>0</v>
      </c>
      <c r="O132" s="27">
        <v>0</v>
      </c>
      <c r="P132" s="27">
        <v>0</v>
      </c>
      <c r="Q132" s="27">
        <v>0</v>
      </c>
      <c r="R132" s="27">
        <v>0</v>
      </c>
      <c r="S132" s="27">
        <v>0</v>
      </c>
      <c r="T132" s="27">
        <v>0</v>
      </c>
      <c r="U132" s="27">
        <v>0</v>
      </c>
      <c r="V132" s="27">
        <v>0</v>
      </c>
      <c r="W132" s="27">
        <v>0</v>
      </c>
      <c r="X132" s="27">
        <v>0</v>
      </c>
      <c r="Y132" s="23"/>
      <c r="Z132" s="25"/>
      <c r="AA132" s="25"/>
      <c r="AB132" s="25"/>
      <c r="AC132" s="26"/>
    </row>
    <row r="133" spans="1:29" ht="112.5" customHeight="1" x14ac:dyDescent="0.25">
      <c r="A133" s="21" t="s">
        <v>340</v>
      </c>
      <c r="B133" s="22" t="s">
        <v>341</v>
      </c>
      <c r="C133" s="23"/>
      <c r="D133" s="23" t="s">
        <v>204</v>
      </c>
      <c r="E133" s="24">
        <f>SUM(E134:E134)+142362</f>
        <v>142362</v>
      </c>
      <c r="F133" s="24">
        <f>SUM(F134:F134)</f>
        <v>0</v>
      </c>
      <c r="G133" s="24">
        <f>SUM(G134:G134)</f>
        <v>0</v>
      </c>
      <c r="H133" s="24">
        <f>SUM(H134:H134)</f>
        <v>0</v>
      </c>
      <c r="I133" s="24">
        <f>SUM(I134:I134)</f>
        <v>0</v>
      </c>
      <c r="J133" s="24">
        <f>SUM(J134:J134)</f>
        <v>0</v>
      </c>
      <c r="K133" s="24">
        <f>SUM(K134:K134)+121007</f>
        <v>121007</v>
      </c>
      <c r="L133" s="24">
        <f>SUM(L134:L134)+21355</f>
        <v>21355</v>
      </c>
      <c r="M133" s="24">
        <f>SUM(M134:M134)</f>
        <v>0</v>
      </c>
      <c r="N133" s="24">
        <f>SUM(N134:N134)</f>
        <v>0</v>
      </c>
      <c r="O133" s="24">
        <f>SUM(O134:O134)+142361.2</f>
        <v>142361.20000000001</v>
      </c>
      <c r="P133" s="24">
        <f>SUM(P134:P134)</f>
        <v>0</v>
      </c>
      <c r="Q133" s="24">
        <f>SUM(Q134:Q134)</f>
        <v>0</v>
      </c>
      <c r="R133" s="24">
        <f>SUM(R134:R134)</f>
        <v>0</v>
      </c>
      <c r="S133" s="24">
        <f>SUM(S134:S134)</f>
        <v>0</v>
      </c>
      <c r="T133" s="24">
        <f>SUM(T134:T134)</f>
        <v>0</v>
      </c>
      <c r="U133" s="24">
        <f>SUM(U134:U134)+121007</f>
        <v>121007</v>
      </c>
      <c r="V133" s="24">
        <f>SUM(V134:V134)+21354.2</f>
        <v>21354.2</v>
      </c>
      <c r="W133" s="24">
        <f>SUM(W134:W134)</f>
        <v>0</v>
      </c>
      <c r="X133" s="24">
        <f>SUM(X134:X134)</f>
        <v>0</v>
      </c>
      <c r="Y133" s="23" t="s">
        <v>318</v>
      </c>
      <c r="Z133" s="25" t="s">
        <v>304</v>
      </c>
      <c r="AA133" s="25" t="s">
        <v>342</v>
      </c>
      <c r="AB133" s="25" t="s">
        <v>343</v>
      </c>
      <c r="AC133" s="26" t="s">
        <v>344</v>
      </c>
    </row>
    <row r="134" spans="1:29" ht="55.5" customHeight="1" x14ac:dyDescent="0.25">
      <c r="A134" s="21" t="s">
        <v>345</v>
      </c>
      <c r="B134" s="22" t="s">
        <v>346</v>
      </c>
      <c r="C134" s="23"/>
      <c r="D134" s="23" t="s">
        <v>204</v>
      </c>
      <c r="E134" s="27">
        <v>0</v>
      </c>
      <c r="F134" s="27">
        <v>0</v>
      </c>
      <c r="G134" s="27">
        <v>0</v>
      </c>
      <c r="H134" s="27">
        <v>0</v>
      </c>
      <c r="I134" s="27">
        <v>0</v>
      </c>
      <c r="J134" s="27">
        <v>0</v>
      </c>
      <c r="K134" s="27">
        <v>0</v>
      </c>
      <c r="L134" s="27">
        <v>0</v>
      </c>
      <c r="M134" s="27">
        <v>0</v>
      </c>
      <c r="N134" s="27">
        <v>0</v>
      </c>
      <c r="O134" s="27">
        <v>0</v>
      </c>
      <c r="P134" s="27">
        <v>0</v>
      </c>
      <c r="Q134" s="27">
        <v>0</v>
      </c>
      <c r="R134" s="27">
        <v>0</v>
      </c>
      <c r="S134" s="27">
        <v>0</v>
      </c>
      <c r="T134" s="27">
        <v>0</v>
      </c>
      <c r="U134" s="27">
        <v>0</v>
      </c>
      <c r="V134" s="27">
        <v>0</v>
      </c>
      <c r="W134" s="27">
        <v>0</v>
      </c>
      <c r="X134" s="27">
        <v>0</v>
      </c>
      <c r="Y134" s="23"/>
      <c r="Z134" s="25"/>
      <c r="AA134" s="25"/>
      <c r="AB134" s="25"/>
      <c r="AC134" s="26"/>
    </row>
    <row r="135" spans="1:29" ht="114.75" customHeight="1" x14ac:dyDescent="0.25">
      <c r="A135" s="21" t="s">
        <v>347</v>
      </c>
      <c r="B135" s="22" t="s">
        <v>348</v>
      </c>
      <c r="C135" s="23"/>
      <c r="D135" s="23" t="s">
        <v>204</v>
      </c>
      <c r="E135" s="24">
        <f>SUM(E136:E136)+74916</f>
        <v>74916</v>
      </c>
      <c r="F135" s="24">
        <f>SUM(F136:F136)</f>
        <v>0</v>
      </c>
      <c r="G135" s="24">
        <f>SUM(G136:G136)</f>
        <v>0</v>
      </c>
      <c r="H135" s="24">
        <f>SUM(H136:H136)</f>
        <v>0</v>
      </c>
      <c r="I135" s="24">
        <f>SUM(I136:I136)</f>
        <v>0</v>
      </c>
      <c r="J135" s="24">
        <f>SUM(J136:J136)</f>
        <v>0</v>
      </c>
      <c r="K135" s="24">
        <f>SUM(K136:K136)+63678</f>
        <v>63678</v>
      </c>
      <c r="L135" s="24">
        <f>SUM(L136:L136)+11238</f>
        <v>11238</v>
      </c>
      <c r="M135" s="24">
        <f>SUM(M136:M136)</f>
        <v>0</v>
      </c>
      <c r="N135" s="24">
        <f>SUM(N136:N136)</f>
        <v>0</v>
      </c>
      <c r="O135" s="24">
        <f>SUM(O136:O136)+74915.31</f>
        <v>74915.31</v>
      </c>
      <c r="P135" s="24">
        <f>SUM(P136:P136)</f>
        <v>0</v>
      </c>
      <c r="Q135" s="24">
        <f>SUM(Q136:Q136)</f>
        <v>0</v>
      </c>
      <c r="R135" s="24">
        <f>SUM(R136:R136)</f>
        <v>0</v>
      </c>
      <c r="S135" s="24">
        <f>SUM(S136:S136)</f>
        <v>0</v>
      </c>
      <c r="T135" s="24">
        <f>SUM(T136:T136)</f>
        <v>0</v>
      </c>
      <c r="U135" s="24">
        <f>SUM(U136:U136)+63677.98</f>
        <v>63677.98</v>
      </c>
      <c r="V135" s="24">
        <f>SUM(V136:V136)+11237.33</f>
        <v>11237.33</v>
      </c>
      <c r="W135" s="24">
        <f>SUM(W136:W136)</f>
        <v>0</v>
      </c>
      <c r="X135" s="24">
        <f>SUM(X136:X136)</f>
        <v>0</v>
      </c>
      <c r="Y135" s="23" t="s">
        <v>318</v>
      </c>
      <c r="Z135" s="25" t="s">
        <v>304</v>
      </c>
      <c r="AA135" s="25" t="s">
        <v>349</v>
      </c>
      <c r="AB135" s="25" t="s">
        <v>349</v>
      </c>
      <c r="AC135" s="26" t="s">
        <v>344</v>
      </c>
    </row>
    <row r="136" spans="1:29" ht="70.5" customHeight="1" x14ac:dyDescent="0.25">
      <c r="A136" s="21" t="s">
        <v>350</v>
      </c>
      <c r="B136" s="22" t="s">
        <v>346</v>
      </c>
      <c r="C136" s="23"/>
      <c r="D136" s="23" t="s">
        <v>204</v>
      </c>
      <c r="E136" s="27">
        <v>0</v>
      </c>
      <c r="F136" s="27">
        <v>0</v>
      </c>
      <c r="G136" s="27">
        <v>0</v>
      </c>
      <c r="H136" s="27">
        <v>0</v>
      </c>
      <c r="I136" s="27">
        <v>0</v>
      </c>
      <c r="J136" s="27">
        <v>0</v>
      </c>
      <c r="K136" s="27">
        <v>0</v>
      </c>
      <c r="L136" s="27">
        <v>0</v>
      </c>
      <c r="M136" s="27">
        <v>0</v>
      </c>
      <c r="N136" s="27">
        <v>0</v>
      </c>
      <c r="O136" s="27">
        <v>0</v>
      </c>
      <c r="P136" s="27">
        <v>0</v>
      </c>
      <c r="Q136" s="27">
        <v>0</v>
      </c>
      <c r="R136" s="27">
        <v>0</v>
      </c>
      <c r="S136" s="27">
        <v>0</v>
      </c>
      <c r="T136" s="27">
        <v>0</v>
      </c>
      <c r="U136" s="27">
        <v>0</v>
      </c>
      <c r="V136" s="27">
        <v>0</v>
      </c>
      <c r="W136" s="27">
        <v>0</v>
      </c>
      <c r="X136" s="27">
        <v>0</v>
      </c>
      <c r="Y136" s="23"/>
      <c r="Z136" s="25"/>
      <c r="AA136" s="25"/>
      <c r="AB136" s="25"/>
      <c r="AC136" s="26"/>
    </row>
    <row r="137" spans="1:29" ht="98.25" customHeight="1" x14ac:dyDescent="0.25">
      <c r="A137" s="21" t="s">
        <v>351</v>
      </c>
      <c r="B137" s="22" t="s">
        <v>352</v>
      </c>
      <c r="C137" s="23" t="s">
        <v>311</v>
      </c>
      <c r="D137" s="23" t="s">
        <v>353</v>
      </c>
      <c r="E137" s="24">
        <f>SUM(E138:E138)+11011</f>
        <v>11011</v>
      </c>
      <c r="F137" s="24">
        <f>SUM(F138:F138)+11011</f>
        <v>11011</v>
      </c>
      <c r="G137" s="24">
        <f t="shared" ref="G137:N137" si="57">SUM(G138:G138)</f>
        <v>0</v>
      </c>
      <c r="H137" s="24">
        <f t="shared" si="57"/>
        <v>0</v>
      </c>
      <c r="I137" s="24">
        <f t="shared" si="57"/>
        <v>0</v>
      </c>
      <c r="J137" s="24">
        <f t="shared" si="57"/>
        <v>0</v>
      </c>
      <c r="K137" s="24">
        <f t="shared" si="57"/>
        <v>0</v>
      </c>
      <c r="L137" s="24">
        <f t="shared" si="57"/>
        <v>0</v>
      </c>
      <c r="M137" s="24">
        <f t="shared" si="57"/>
        <v>0</v>
      </c>
      <c r="N137" s="24">
        <f t="shared" si="57"/>
        <v>0</v>
      </c>
      <c r="O137" s="24">
        <f>SUM(O138:O138)+11011</f>
        <v>11011</v>
      </c>
      <c r="P137" s="24">
        <f>SUM(P138:P138)+11011</f>
        <v>11011</v>
      </c>
      <c r="Q137" s="24">
        <f t="shared" ref="Q137:X137" si="58">SUM(Q138:Q138)</f>
        <v>0</v>
      </c>
      <c r="R137" s="24">
        <f t="shared" si="58"/>
        <v>0</v>
      </c>
      <c r="S137" s="24">
        <f t="shared" si="58"/>
        <v>0</v>
      </c>
      <c r="T137" s="24">
        <f t="shared" si="58"/>
        <v>0</v>
      </c>
      <c r="U137" s="24">
        <f t="shared" si="58"/>
        <v>0</v>
      </c>
      <c r="V137" s="24">
        <f t="shared" si="58"/>
        <v>0</v>
      </c>
      <c r="W137" s="24">
        <f t="shared" si="58"/>
        <v>0</v>
      </c>
      <c r="X137" s="24">
        <f t="shared" si="58"/>
        <v>0</v>
      </c>
      <c r="Y137" s="23" t="s">
        <v>354</v>
      </c>
      <c r="Z137" s="25" t="s">
        <v>34</v>
      </c>
      <c r="AA137" s="25" t="s">
        <v>42</v>
      </c>
      <c r="AB137" s="25" t="s">
        <v>42</v>
      </c>
      <c r="AC137" s="26"/>
    </row>
    <row r="138" spans="1:29" ht="55.5" customHeight="1" x14ac:dyDescent="0.25">
      <c r="A138" s="21" t="s">
        <v>355</v>
      </c>
      <c r="B138" s="22" t="s">
        <v>356</v>
      </c>
      <c r="C138" s="23" t="s">
        <v>311</v>
      </c>
      <c r="D138" s="23" t="s">
        <v>357</v>
      </c>
      <c r="E138" s="27">
        <v>0</v>
      </c>
      <c r="F138" s="27">
        <v>0</v>
      </c>
      <c r="G138" s="27">
        <v>0</v>
      </c>
      <c r="H138" s="27">
        <v>0</v>
      </c>
      <c r="I138" s="27">
        <v>0</v>
      </c>
      <c r="J138" s="27">
        <v>0</v>
      </c>
      <c r="K138" s="27">
        <v>0</v>
      </c>
      <c r="L138" s="27">
        <v>0</v>
      </c>
      <c r="M138" s="27">
        <v>0</v>
      </c>
      <c r="N138" s="27">
        <v>0</v>
      </c>
      <c r="O138" s="27">
        <v>0</v>
      </c>
      <c r="P138" s="27">
        <v>0</v>
      </c>
      <c r="Q138" s="27">
        <v>0</v>
      </c>
      <c r="R138" s="27">
        <v>0</v>
      </c>
      <c r="S138" s="27">
        <v>0</v>
      </c>
      <c r="T138" s="27">
        <v>0</v>
      </c>
      <c r="U138" s="27">
        <v>0</v>
      </c>
      <c r="V138" s="27">
        <v>0</v>
      </c>
      <c r="W138" s="27">
        <v>0</v>
      </c>
      <c r="X138" s="27">
        <v>0</v>
      </c>
      <c r="Y138" s="23"/>
      <c r="Z138" s="25"/>
      <c r="AA138" s="25"/>
      <c r="AB138" s="25"/>
      <c r="AC138" s="26"/>
    </row>
    <row r="139" spans="1:29" ht="88.5" customHeight="1" x14ac:dyDescent="0.25">
      <c r="A139" s="21" t="s">
        <v>358</v>
      </c>
      <c r="B139" s="22" t="s">
        <v>359</v>
      </c>
      <c r="C139" s="23" t="s">
        <v>311</v>
      </c>
      <c r="D139" s="23" t="s">
        <v>204</v>
      </c>
      <c r="E139" s="24">
        <f>SUM(E140:E140)+11011</f>
        <v>11011</v>
      </c>
      <c r="F139" s="24">
        <f>SUM(F140:F140)+11011</f>
        <v>11011</v>
      </c>
      <c r="G139" s="24">
        <f t="shared" ref="G139:N139" si="59">SUM(G140:G140)</f>
        <v>0</v>
      </c>
      <c r="H139" s="24">
        <f t="shared" si="59"/>
        <v>0</v>
      </c>
      <c r="I139" s="24">
        <f t="shared" si="59"/>
        <v>0</v>
      </c>
      <c r="J139" s="24">
        <f t="shared" si="59"/>
        <v>0</v>
      </c>
      <c r="K139" s="24">
        <f t="shared" si="59"/>
        <v>0</v>
      </c>
      <c r="L139" s="24">
        <f t="shared" si="59"/>
        <v>0</v>
      </c>
      <c r="M139" s="24">
        <f t="shared" si="59"/>
        <v>0</v>
      </c>
      <c r="N139" s="24">
        <f t="shared" si="59"/>
        <v>0</v>
      </c>
      <c r="O139" s="24">
        <f>SUM(O140:O140)+11011</f>
        <v>11011</v>
      </c>
      <c r="P139" s="24">
        <f>SUM(P140:P140)+11011</f>
        <v>11011</v>
      </c>
      <c r="Q139" s="24">
        <f t="shared" ref="Q139:X139" si="60">SUM(Q140:Q140)</f>
        <v>0</v>
      </c>
      <c r="R139" s="24">
        <f t="shared" si="60"/>
        <v>0</v>
      </c>
      <c r="S139" s="24">
        <f t="shared" si="60"/>
        <v>0</v>
      </c>
      <c r="T139" s="24">
        <f t="shared" si="60"/>
        <v>0</v>
      </c>
      <c r="U139" s="24">
        <f t="shared" si="60"/>
        <v>0</v>
      </c>
      <c r="V139" s="24">
        <f t="shared" si="60"/>
        <v>0</v>
      </c>
      <c r="W139" s="24">
        <f t="shared" si="60"/>
        <v>0</v>
      </c>
      <c r="X139" s="24">
        <f t="shared" si="60"/>
        <v>0</v>
      </c>
      <c r="Y139" s="23" t="s">
        <v>354</v>
      </c>
      <c r="Z139" s="25" t="s">
        <v>34</v>
      </c>
      <c r="AA139" s="25" t="s">
        <v>42</v>
      </c>
      <c r="AB139" s="25" t="s">
        <v>42</v>
      </c>
      <c r="AC139" s="26"/>
    </row>
    <row r="140" spans="1:29" ht="57.75" customHeight="1" x14ac:dyDescent="0.25">
      <c r="A140" s="21" t="s">
        <v>360</v>
      </c>
      <c r="B140" s="22" t="s">
        <v>356</v>
      </c>
      <c r="C140" s="23" t="s">
        <v>311</v>
      </c>
      <c r="D140" s="23" t="s">
        <v>357</v>
      </c>
      <c r="E140" s="27">
        <v>0</v>
      </c>
      <c r="F140" s="27">
        <v>0</v>
      </c>
      <c r="G140" s="27">
        <v>0</v>
      </c>
      <c r="H140" s="27">
        <v>0</v>
      </c>
      <c r="I140" s="27">
        <v>0</v>
      </c>
      <c r="J140" s="27">
        <v>0</v>
      </c>
      <c r="K140" s="27">
        <v>0</v>
      </c>
      <c r="L140" s="27">
        <v>0</v>
      </c>
      <c r="M140" s="27">
        <v>0</v>
      </c>
      <c r="N140" s="27">
        <v>0</v>
      </c>
      <c r="O140" s="27">
        <v>0</v>
      </c>
      <c r="P140" s="27">
        <v>0</v>
      </c>
      <c r="Q140" s="27">
        <v>0</v>
      </c>
      <c r="R140" s="27">
        <v>0</v>
      </c>
      <c r="S140" s="27">
        <v>0</v>
      </c>
      <c r="T140" s="27">
        <v>0</v>
      </c>
      <c r="U140" s="27">
        <v>0</v>
      </c>
      <c r="V140" s="27">
        <v>0</v>
      </c>
      <c r="W140" s="27">
        <v>0</v>
      </c>
      <c r="X140" s="27">
        <v>0</v>
      </c>
      <c r="Y140" s="23"/>
      <c r="Z140" s="25"/>
      <c r="AA140" s="25"/>
      <c r="AB140" s="25"/>
      <c r="AC140" s="26"/>
    </row>
    <row r="141" spans="1:29" ht="75.75" customHeight="1" x14ac:dyDescent="0.25">
      <c r="A141" s="9" t="s">
        <v>361</v>
      </c>
      <c r="B141" s="10" t="s">
        <v>362</v>
      </c>
      <c r="C141" s="11" t="s">
        <v>177</v>
      </c>
      <c r="D141" s="11"/>
      <c r="E141" s="12">
        <f t="shared" ref="E141:X141" si="61">E142+E153</f>
        <v>1009984.75</v>
      </c>
      <c r="F141" s="12">
        <f t="shared" si="61"/>
        <v>104927</v>
      </c>
      <c r="G141" s="12">
        <f t="shared" si="61"/>
        <v>0</v>
      </c>
      <c r="H141" s="12">
        <f t="shared" si="61"/>
        <v>0</v>
      </c>
      <c r="I141" s="12">
        <f t="shared" si="61"/>
        <v>0</v>
      </c>
      <c r="J141" s="12">
        <f t="shared" si="61"/>
        <v>344338</v>
      </c>
      <c r="K141" s="12">
        <f t="shared" si="61"/>
        <v>522984.65</v>
      </c>
      <c r="L141" s="12">
        <f t="shared" si="61"/>
        <v>37735.1</v>
      </c>
      <c r="M141" s="12">
        <f t="shared" si="61"/>
        <v>0</v>
      </c>
      <c r="N141" s="12">
        <f t="shared" si="61"/>
        <v>0</v>
      </c>
      <c r="O141" s="12">
        <f t="shared" si="61"/>
        <v>612039.14999999991</v>
      </c>
      <c r="P141" s="12">
        <f t="shared" si="61"/>
        <v>111823.64</v>
      </c>
      <c r="Q141" s="12">
        <f t="shared" si="61"/>
        <v>0</v>
      </c>
      <c r="R141" s="12">
        <f t="shared" si="61"/>
        <v>0</v>
      </c>
      <c r="S141" s="12">
        <f t="shared" si="61"/>
        <v>0</v>
      </c>
      <c r="T141" s="12">
        <f t="shared" si="61"/>
        <v>301708.55000000005</v>
      </c>
      <c r="U141" s="12">
        <f t="shared" si="61"/>
        <v>180820.02000000002</v>
      </c>
      <c r="V141" s="12">
        <f t="shared" si="61"/>
        <v>17686.939999999999</v>
      </c>
      <c r="W141" s="12">
        <f t="shared" si="61"/>
        <v>0</v>
      </c>
      <c r="X141" s="12">
        <f t="shared" si="61"/>
        <v>0</v>
      </c>
      <c r="Y141" s="11"/>
      <c r="Z141" s="13"/>
      <c r="AA141" s="13"/>
      <c r="AB141" s="13"/>
      <c r="AC141" s="14"/>
    </row>
    <row r="142" spans="1:29" ht="72" customHeight="1" x14ac:dyDescent="0.25">
      <c r="A142" s="15" t="s">
        <v>363</v>
      </c>
      <c r="B142" s="16" t="s">
        <v>364</v>
      </c>
      <c r="C142" s="17"/>
      <c r="D142" s="17"/>
      <c r="E142" s="18">
        <f t="shared" ref="E142:X142" si="62">E143+E145+E149</f>
        <v>649446.99</v>
      </c>
      <c r="F142" s="18">
        <f t="shared" si="62"/>
        <v>75615</v>
      </c>
      <c r="G142" s="18">
        <f t="shared" si="62"/>
        <v>0</v>
      </c>
      <c r="H142" s="18">
        <f t="shared" si="62"/>
        <v>0</v>
      </c>
      <c r="I142" s="18">
        <f t="shared" si="62"/>
        <v>0</v>
      </c>
      <c r="J142" s="18">
        <f t="shared" si="62"/>
        <v>97704</v>
      </c>
      <c r="K142" s="18">
        <f t="shared" si="62"/>
        <v>438392.89</v>
      </c>
      <c r="L142" s="18">
        <f t="shared" si="62"/>
        <v>37735.1</v>
      </c>
      <c r="M142" s="18">
        <f t="shared" si="62"/>
        <v>0</v>
      </c>
      <c r="N142" s="18">
        <f t="shared" si="62"/>
        <v>0</v>
      </c>
      <c r="O142" s="18">
        <f t="shared" si="62"/>
        <v>270817.05</v>
      </c>
      <c r="P142" s="18">
        <f t="shared" si="62"/>
        <v>68975.14</v>
      </c>
      <c r="Q142" s="18">
        <f t="shared" si="62"/>
        <v>0</v>
      </c>
      <c r="R142" s="18">
        <f t="shared" si="62"/>
        <v>0</v>
      </c>
      <c r="S142" s="18">
        <f t="shared" si="62"/>
        <v>0</v>
      </c>
      <c r="T142" s="18">
        <f t="shared" si="62"/>
        <v>68860.58</v>
      </c>
      <c r="U142" s="18">
        <f t="shared" si="62"/>
        <v>122010.11000000002</v>
      </c>
      <c r="V142" s="18">
        <f t="shared" si="62"/>
        <v>10971.22</v>
      </c>
      <c r="W142" s="18">
        <f t="shared" si="62"/>
        <v>0</v>
      </c>
      <c r="X142" s="18">
        <f t="shared" si="62"/>
        <v>0</v>
      </c>
      <c r="Y142" s="17"/>
      <c r="Z142" s="19"/>
      <c r="AA142" s="19"/>
      <c r="AB142" s="19"/>
      <c r="AC142" s="20"/>
    </row>
    <row r="143" spans="1:29" ht="69.75" customHeight="1" x14ac:dyDescent="0.25">
      <c r="A143" s="21" t="s">
        <v>365</v>
      </c>
      <c r="B143" s="22" t="s">
        <v>366</v>
      </c>
      <c r="C143" s="23"/>
      <c r="D143" s="23" t="s">
        <v>367</v>
      </c>
      <c r="E143" s="24">
        <f>SUM(E144:E144)+478892</f>
        <v>478892</v>
      </c>
      <c r="F143" s="24">
        <f>SUM(F144:F144)+48515</f>
        <v>48515</v>
      </c>
      <c r="G143" s="24">
        <f>SUM(G144:G144)</f>
        <v>0</v>
      </c>
      <c r="H143" s="24">
        <f>SUM(H144:H144)</f>
        <v>0</v>
      </c>
      <c r="I143" s="24">
        <f>SUM(I144:I144)</f>
        <v>0</v>
      </c>
      <c r="J143" s="24">
        <f>SUM(J144:J144)+60000</f>
        <v>60000</v>
      </c>
      <c r="K143" s="24">
        <f>SUM(K144:K144)+338726</f>
        <v>338726</v>
      </c>
      <c r="L143" s="24">
        <f>SUM(L144:L144)+31651</f>
        <v>31651</v>
      </c>
      <c r="M143" s="24">
        <f>SUM(M144:M144)</f>
        <v>0</v>
      </c>
      <c r="N143" s="24">
        <f>SUM(N144:N144)</f>
        <v>0</v>
      </c>
      <c r="O143" s="24">
        <f>SUM(O144:O144)+141179.08</f>
        <v>141179.07999999999</v>
      </c>
      <c r="P143" s="24">
        <f>SUM(P144:P144)+41875.14</f>
        <v>41875.14</v>
      </c>
      <c r="Q143" s="24">
        <f>SUM(Q144:Q144)</f>
        <v>0</v>
      </c>
      <c r="R143" s="24">
        <f>SUM(R144:R144)</f>
        <v>0</v>
      </c>
      <c r="S143" s="24">
        <f>SUM(S144:S144)</f>
        <v>0</v>
      </c>
      <c r="T143" s="24">
        <f>SUM(T144:T144)+60006.94</f>
        <v>60006.94</v>
      </c>
      <c r="U143" s="24">
        <f>SUM(U144:U144)+36109</f>
        <v>36109</v>
      </c>
      <c r="V143" s="24">
        <f>SUM(V144:V144)+3188</f>
        <v>3188</v>
      </c>
      <c r="W143" s="24">
        <f>SUM(W144:W144)</f>
        <v>0</v>
      </c>
      <c r="X143" s="24">
        <f>SUM(X144:X144)</f>
        <v>0</v>
      </c>
      <c r="Y143" s="23" t="s">
        <v>368</v>
      </c>
      <c r="Z143" s="25" t="s">
        <v>34</v>
      </c>
      <c r="AA143" s="25" t="s">
        <v>42</v>
      </c>
      <c r="AB143" s="25" t="s">
        <v>48</v>
      </c>
      <c r="AC143" s="26" t="s">
        <v>369</v>
      </c>
    </row>
    <row r="144" spans="1:29" ht="138.75" customHeight="1" x14ac:dyDescent="0.25">
      <c r="A144" s="21" t="s">
        <v>370</v>
      </c>
      <c r="B144" s="22" t="s">
        <v>371</v>
      </c>
      <c r="C144" s="23"/>
      <c r="D144" s="23" t="s">
        <v>367</v>
      </c>
      <c r="E144" s="27">
        <v>0</v>
      </c>
      <c r="F144" s="27">
        <v>0</v>
      </c>
      <c r="G144" s="27">
        <v>0</v>
      </c>
      <c r="H144" s="27">
        <v>0</v>
      </c>
      <c r="I144" s="27">
        <v>0</v>
      </c>
      <c r="J144" s="27">
        <v>0</v>
      </c>
      <c r="K144" s="27">
        <v>0</v>
      </c>
      <c r="L144" s="27">
        <v>0</v>
      </c>
      <c r="M144" s="27">
        <v>0</v>
      </c>
      <c r="N144" s="27">
        <v>0</v>
      </c>
      <c r="O144" s="27">
        <v>0</v>
      </c>
      <c r="P144" s="27">
        <v>0</v>
      </c>
      <c r="Q144" s="27">
        <v>0</v>
      </c>
      <c r="R144" s="27">
        <v>0</v>
      </c>
      <c r="S144" s="27">
        <v>0</v>
      </c>
      <c r="T144" s="27">
        <v>0</v>
      </c>
      <c r="U144" s="27">
        <v>0</v>
      </c>
      <c r="V144" s="27">
        <v>0</v>
      </c>
      <c r="W144" s="27">
        <v>0</v>
      </c>
      <c r="X144" s="27">
        <v>0</v>
      </c>
      <c r="Y144" s="23"/>
      <c r="Z144" s="25"/>
      <c r="AA144" s="25"/>
      <c r="AB144" s="25"/>
      <c r="AC144" s="26"/>
    </row>
    <row r="145" spans="1:29" ht="62.25" customHeight="1" x14ac:dyDescent="0.25">
      <c r="A145" s="21" t="s">
        <v>372</v>
      </c>
      <c r="B145" s="22" t="s">
        <v>373</v>
      </c>
      <c r="C145" s="23"/>
      <c r="D145" s="23" t="s">
        <v>197</v>
      </c>
      <c r="E145" s="24">
        <f>SUM(E146:E148)+61127.75</f>
        <v>61127.75</v>
      </c>
      <c r="F145" s="24">
        <f>SUM(F146:F148)+27100</f>
        <v>27100</v>
      </c>
      <c r="G145" s="24">
        <f>SUM(G146:G148)</f>
        <v>0</v>
      </c>
      <c r="H145" s="24">
        <f>SUM(H146:H148)</f>
        <v>0</v>
      </c>
      <c r="I145" s="24">
        <f>SUM(I146:I148)</f>
        <v>0</v>
      </c>
      <c r="J145" s="24">
        <f>SUM(J146:J148)+30000</f>
        <v>30000</v>
      </c>
      <c r="K145" s="24">
        <f>SUM(K146:K148)+3709.33</f>
        <v>3709.33</v>
      </c>
      <c r="L145" s="24">
        <f>SUM(L146:L148)+318.42</f>
        <v>318.42</v>
      </c>
      <c r="M145" s="24">
        <f>SUM(M146:M148)</f>
        <v>0</v>
      </c>
      <c r="N145" s="24">
        <f>SUM(N146:N148)</f>
        <v>0</v>
      </c>
      <c r="O145" s="24">
        <f>SUM(O146:O148)+32856.61</f>
        <v>32856.61</v>
      </c>
      <c r="P145" s="24">
        <f>SUM(P146:P148)+27100</f>
        <v>27100</v>
      </c>
      <c r="Q145" s="24">
        <f>SUM(Q146:Q148)</f>
        <v>0</v>
      </c>
      <c r="R145" s="24">
        <f>SUM(R146:R148)</f>
        <v>0</v>
      </c>
      <c r="S145" s="24">
        <f>SUM(S146:S148)</f>
        <v>0</v>
      </c>
      <c r="T145" s="24">
        <f>SUM(T146:T148)+217.8</f>
        <v>217.8</v>
      </c>
      <c r="U145" s="24">
        <f>SUM(U146:U148)+5099.29</f>
        <v>5099.29</v>
      </c>
      <c r="V145" s="24">
        <f>SUM(V146:V148)+439.52</f>
        <v>439.52</v>
      </c>
      <c r="W145" s="24">
        <f>SUM(W146:W148)</f>
        <v>0</v>
      </c>
      <c r="X145" s="24">
        <f>SUM(X146:X148)</f>
        <v>0</v>
      </c>
      <c r="Y145" s="23" t="s">
        <v>198</v>
      </c>
      <c r="Z145" s="25" t="s">
        <v>34</v>
      </c>
      <c r="AA145" s="25" t="s">
        <v>42</v>
      </c>
      <c r="AB145" s="25" t="s">
        <v>42</v>
      </c>
      <c r="AC145" s="26"/>
    </row>
    <row r="146" spans="1:29" ht="81" x14ac:dyDescent="0.25">
      <c r="A146" s="28"/>
      <c r="B146" s="29"/>
      <c r="C146" s="30"/>
      <c r="D146" s="30"/>
      <c r="E146" s="31">
        <v>0</v>
      </c>
      <c r="F146" s="31">
        <v>0</v>
      </c>
      <c r="G146" s="31">
        <v>0</v>
      </c>
      <c r="H146" s="31">
        <v>0</v>
      </c>
      <c r="I146" s="31">
        <v>0</v>
      </c>
      <c r="J146" s="31">
        <v>0</v>
      </c>
      <c r="K146" s="31">
        <v>0</v>
      </c>
      <c r="L146" s="31">
        <v>0</v>
      </c>
      <c r="M146" s="31">
        <v>0</v>
      </c>
      <c r="N146" s="31">
        <v>0</v>
      </c>
      <c r="O146" s="31">
        <v>0</v>
      </c>
      <c r="P146" s="31">
        <v>0</v>
      </c>
      <c r="Q146" s="31">
        <v>0</v>
      </c>
      <c r="R146" s="31">
        <v>0</v>
      </c>
      <c r="S146" s="31">
        <v>0</v>
      </c>
      <c r="T146" s="31">
        <v>0</v>
      </c>
      <c r="U146" s="31">
        <v>0</v>
      </c>
      <c r="V146" s="31">
        <v>0</v>
      </c>
      <c r="W146" s="31">
        <v>0</v>
      </c>
      <c r="X146" s="31">
        <v>0</v>
      </c>
      <c r="Y146" s="30" t="s">
        <v>374</v>
      </c>
      <c r="Z146" s="32" t="s">
        <v>34</v>
      </c>
      <c r="AA146" s="32" t="s">
        <v>42</v>
      </c>
      <c r="AB146" s="32" t="s">
        <v>48</v>
      </c>
      <c r="AC146" s="33" t="s">
        <v>375</v>
      </c>
    </row>
    <row r="147" spans="1:29" ht="81" x14ac:dyDescent="0.25">
      <c r="A147" s="21" t="s">
        <v>376</v>
      </c>
      <c r="B147" s="22" t="s">
        <v>377</v>
      </c>
      <c r="C147" s="23"/>
      <c r="D147" s="23" t="s">
        <v>197</v>
      </c>
      <c r="E147" s="27">
        <v>0</v>
      </c>
      <c r="F147" s="27">
        <v>0</v>
      </c>
      <c r="G147" s="27">
        <v>0</v>
      </c>
      <c r="H147" s="27">
        <v>0</v>
      </c>
      <c r="I147" s="27">
        <v>0</v>
      </c>
      <c r="J147" s="27">
        <v>0</v>
      </c>
      <c r="K147" s="27">
        <v>0</v>
      </c>
      <c r="L147" s="27">
        <v>0</v>
      </c>
      <c r="M147" s="27">
        <v>0</v>
      </c>
      <c r="N147" s="27">
        <v>0</v>
      </c>
      <c r="O147" s="27">
        <v>0</v>
      </c>
      <c r="P147" s="27">
        <v>0</v>
      </c>
      <c r="Q147" s="27">
        <v>0</v>
      </c>
      <c r="R147" s="27">
        <v>0</v>
      </c>
      <c r="S147" s="27">
        <v>0</v>
      </c>
      <c r="T147" s="27">
        <v>0</v>
      </c>
      <c r="U147" s="27">
        <v>0</v>
      </c>
      <c r="V147" s="27">
        <v>0</v>
      </c>
      <c r="W147" s="27">
        <v>0</v>
      </c>
      <c r="X147" s="27">
        <v>0</v>
      </c>
      <c r="Y147" s="23"/>
      <c r="Z147" s="25"/>
      <c r="AA147" s="25"/>
      <c r="AB147" s="25"/>
      <c r="AC147" s="26"/>
    </row>
    <row r="148" spans="1:29" ht="54" customHeight="1" x14ac:dyDescent="0.25">
      <c r="A148" s="21" t="s">
        <v>378</v>
      </c>
      <c r="B148" s="22" t="s">
        <v>379</v>
      </c>
      <c r="C148" s="23"/>
      <c r="D148" s="23" t="s">
        <v>197</v>
      </c>
      <c r="E148" s="27">
        <v>0</v>
      </c>
      <c r="F148" s="27">
        <v>0</v>
      </c>
      <c r="G148" s="27">
        <v>0</v>
      </c>
      <c r="H148" s="27">
        <v>0</v>
      </c>
      <c r="I148" s="27">
        <v>0</v>
      </c>
      <c r="J148" s="27">
        <v>0</v>
      </c>
      <c r="K148" s="27">
        <v>0</v>
      </c>
      <c r="L148" s="27">
        <v>0</v>
      </c>
      <c r="M148" s="27">
        <v>0</v>
      </c>
      <c r="N148" s="27">
        <v>0</v>
      </c>
      <c r="O148" s="27">
        <v>0</v>
      </c>
      <c r="P148" s="27">
        <v>0</v>
      </c>
      <c r="Q148" s="27">
        <v>0</v>
      </c>
      <c r="R148" s="27">
        <v>0</v>
      </c>
      <c r="S148" s="27">
        <v>0</v>
      </c>
      <c r="T148" s="27">
        <v>0</v>
      </c>
      <c r="U148" s="27">
        <v>0</v>
      </c>
      <c r="V148" s="27">
        <v>0</v>
      </c>
      <c r="W148" s="27">
        <v>0</v>
      </c>
      <c r="X148" s="27">
        <v>0</v>
      </c>
      <c r="Y148" s="23"/>
      <c r="Z148" s="25"/>
      <c r="AA148" s="25"/>
      <c r="AB148" s="25"/>
      <c r="AC148" s="26"/>
    </row>
    <row r="149" spans="1:29" ht="66.75" customHeight="1" x14ac:dyDescent="0.25">
      <c r="A149" s="21" t="s">
        <v>380</v>
      </c>
      <c r="B149" s="22" t="s">
        <v>381</v>
      </c>
      <c r="C149" s="23"/>
      <c r="D149" s="23" t="s">
        <v>197</v>
      </c>
      <c r="E149" s="24">
        <f>SUM(E150:E152)+109427.24</f>
        <v>109427.24</v>
      </c>
      <c r="F149" s="24">
        <f>SUM(F150:F152)</f>
        <v>0</v>
      </c>
      <c r="G149" s="24">
        <f>SUM(G150:G152)</f>
        <v>0</v>
      </c>
      <c r="H149" s="24">
        <f>SUM(H150:H152)</f>
        <v>0</v>
      </c>
      <c r="I149" s="24">
        <f>SUM(I150:I152)</f>
        <v>0</v>
      </c>
      <c r="J149" s="24">
        <f>SUM(J150:J152)+7704</f>
        <v>7704</v>
      </c>
      <c r="K149" s="24">
        <f>SUM(K150:K152)+95957.56</f>
        <v>95957.56</v>
      </c>
      <c r="L149" s="24">
        <f>SUM(L150:L152)+5765.68</f>
        <v>5765.68</v>
      </c>
      <c r="M149" s="24">
        <f>SUM(M150:M152)</f>
        <v>0</v>
      </c>
      <c r="N149" s="24">
        <f>SUM(N150:N152)</f>
        <v>0</v>
      </c>
      <c r="O149" s="24">
        <f>SUM(O150:O152)+96781.36</f>
        <v>96781.36</v>
      </c>
      <c r="P149" s="24">
        <f>SUM(P150:P152)</f>
        <v>0</v>
      </c>
      <c r="Q149" s="24">
        <f>SUM(Q150:Q152)</f>
        <v>0</v>
      </c>
      <c r="R149" s="24">
        <f>SUM(R150:R152)</f>
        <v>0</v>
      </c>
      <c r="S149" s="24">
        <f>SUM(S150:S152)</f>
        <v>0</v>
      </c>
      <c r="T149" s="24">
        <f>SUM(T150:T152)+8635.84</f>
        <v>8635.84</v>
      </c>
      <c r="U149" s="24">
        <f>SUM(U150:U152)+80801.82</f>
        <v>80801.820000000007</v>
      </c>
      <c r="V149" s="24">
        <f>SUM(V150:V152)+7343.7</f>
        <v>7343.7</v>
      </c>
      <c r="W149" s="24">
        <f>SUM(W150:W152)</f>
        <v>0</v>
      </c>
      <c r="X149" s="24">
        <f>SUM(X150:X152)</f>
        <v>0</v>
      </c>
      <c r="Y149" s="23" t="s">
        <v>382</v>
      </c>
      <c r="Z149" s="25" t="s">
        <v>34</v>
      </c>
      <c r="AA149" s="25" t="s">
        <v>48</v>
      </c>
      <c r="AB149" s="25" t="s">
        <v>42</v>
      </c>
      <c r="AC149" s="26" t="s">
        <v>383</v>
      </c>
    </row>
    <row r="150" spans="1:29" ht="60.75" x14ac:dyDescent="0.25">
      <c r="A150" s="28"/>
      <c r="B150" s="29"/>
      <c r="C150" s="30"/>
      <c r="D150" s="30"/>
      <c r="E150" s="31">
        <v>0</v>
      </c>
      <c r="F150" s="31">
        <v>0</v>
      </c>
      <c r="G150" s="31">
        <v>0</v>
      </c>
      <c r="H150" s="31">
        <v>0</v>
      </c>
      <c r="I150" s="31">
        <v>0</v>
      </c>
      <c r="J150" s="31">
        <v>0</v>
      </c>
      <c r="K150" s="31">
        <v>0</v>
      </c>
      <c r="L150" s="31">
        <v>0</v>
      </c>
      <c r="M150" s="31">
        <v>0</v>
      </c>
      <c r="N150" s="31">
        <v>0</v>
      </c>
      <c r="O150" s="31">
        <v>0</v>
      </c>
      <c r="P150" s="31">
        <v>0</v>
      </c>
      <c r="Q150" s="31">
        <v>0</v>
      </c>
      <c r="R150" s="31">
        <v>0</v>
      </c>
      <c r="S150" s="31">
        <v>0</v>
      </c>
      <c r="T150" s="31">
        <v>0</v>
      </c>
      <c r="U150" s="31">
        <v>0</v>
      </c>
      <c r="V150" s="31">
        <v>0</v>
      </c>
      <c r="W150" s="31">
        <v>0</v>
      </c>
      <c r="X150" s="31">
        <v>0</v>
      </c>
      <c r="Y150" s="30" t="s">
        <v>198</v>
      </c>
      <c r="Z150" s="32" t="s">
        <v>34</v>
      </c>
      <c r="AA150" s="32" t="s">
        <v>42</v>
      </c>
      <c r="AB150" s="32" t="s">
        <v>48</v>
      </c>
      <c r="AC150" s="33" t="s">
        <v>384</v>
      </c>
    </row>
    <row r="151" spans="1:29" ht="105.75" customHeight="1" x14ac:dyDescent="0.25">
      <c r="A151" s="21" t="s">
        <v>385</v>
      </c>
      <c r="B151" s="22" t="s">
        <v>386</v>
      </c>
      <c r="C151" s="23"/>
      <c r="D151" s="23" t="s">
        <v>197</v>
      </c>
      <c r="E151" s="27">
        <v>0</v>
      </c>
      <c r="F151" s="27">
        <v>0</v>
      </c>
      <c r="G151" s="27">
        <v>0</v>
      </c>
      <c r="H151" s="27">
        <v>0</v>
      </c>
      <c r="I151" s="27">
        <v>0</v>
      </c>
      <c r="J151" s="27">
        <v>0</v>
      </c>
      <c r="K151" s="27">
        <v>0</v>
      </c>
      <c r="L151" s="27">
        <v>0</v>
      </c>
      <c r="M151" s="27">
        <v>0</v>
      </c>
      <c r="N151" s="27">
        <v>0</v>
      </c>
      <c r="O151" s="27">
        <v>0</v>
      </c>
      <c r="P151" s="27">
        <v>0</v>
      </c>
      <c r="Q151" s="27">
        <v>0</v>
      </c>
      <c r="R151" s="27">
        <v>0</v>
      </c>
      <c r="S151" s="27">
        <v>0</v>
      </c>
      <c r="T151" s="27">
        <v>0</v>
      </c>
      <c r="U151" s="27">
        <v>0</v>
      </c>
      <c r="V151" s="27">
        <v>0</v>
      </c>
      <c r="W151" s="27">
        <v>0</v>
      </c>
      <c r="X151" s="27">
        <v>0</v>
      </c>
      <c r="Y151" s="23"/>
      <c r="Z151" s="25"/>
      <c r="AA151" s="25"/>
      <c r="AB151" s="25"/>
      <c r="AC151" s="26"/>
    </row>
    <row r="152" spans="1:29" ht="31.5" customHeight="1" x14ac:dyDescent="0.25">
      <c r="A152" s="21" t="s">
        <v>387</v>
      </c>
      <c r="B152" s="22" t="s">
        <v>379</v>
      </c>
      <c r="C152" s="23"/>
      <c r="D152" s="23" t="s">
        <v>197</v>
      </c>
      <c r="E152" s="27">
        <v>0</v>
      </c>
      <c r="F152" s="27">
        <v>0</v>
      </c>
      <c r="G152" s="27">
        <v>0</v>
      </c>
      <c r="H152" s="27">
        <v>0</v>
      </c>
      <c r="I152" s="27">
        <v>0</v>
      </c>
      <c r="J152" s="27">
        <v>0</v>
      </c>
      <c r="K152" s="27">
        <v>0</v>
      </c>
      <c r="L152" s="27">
        <v>0</v>
      </c>
      <c r="M152" s="27">
        <v>0</v>
      </c>
      <c r="N152" s="27">
        <v>0</v>
      </c>
      <c r="O152" s="27">
        <v>0</v>
      </c>
      <c r="P152" s="27">
        <v>0</v>
      </c>
      <c r="Q152" s="27">
        <v>0</v>
      </c>
      <c r="R152" s="27">
        <v>0</v>
      </c>
      <c r="S152" s="27">
        <v>0</v>
      </c>
      <c r="T152" s="27">
        <v>0</v>
      </c>
      <c r="U152" s="27">
        <v>0</v>
      </c>
      <c r="V152" s="27">
        <v>0</v>
      </c>
      <c r="W152" s="27">
        <v>0</v>
      </c>
      <c r="X152" s="27">
        <v>0</v>
      </c>
      <c r="Y152" s="23"/>
      <c r="Z152" s="25"/>
      <c r="AA152" s="25"/>
      <c r="AB152" s="25"/>
      <c r="AC152" s="26"/>
    </row>
    <row r="153" spans="1:29" ht="63" customHeight="1" x14ac:dyDescent="0.25">
      <c r="A153" s="15" t="s">
        <v>388</v>
      </c>
      <c r="B153" s="16" t="s">
        <v>389</v>
      </c>
      <c r="C153" s="17"/>
      <c r="D153" s="17"/>
      <c r="E153" s="18">
        <f t="shared" ref="E153:X153" si="63">E154+E158+E162+E166+E170+E174+E178+E182</f>
        <v>360537.76</v>
      </c>
      <c r="F153" s="18">
        <f t="shared" si="63"/>
        <v>29312</v>
      </c>
      <c r="G153" s="18">
        <f t="shared" si="63"/>
        <v>0</v>
      </c>
      <c r="H153" s="18">
        <f t="shared" si="63"/>
        <v>0</v>
      </c>
      <c r="I153" s="18">
        <f t="shared" si="63"/>
        <v>0</v>
      </c>
      <c r="J153" s="18">
        <f t="shared" si="63"/>
        <v>246634</v>
      </c>
      <c r="K153" s="18">
        <f t="shared" si="63"/>
        <v>84591.760000000009</v>
      </c>
      <c r="L153" s="18">
        <f t="shared" si="63"/>
        <v>0</v>
      </c>
      <c r="M153" s="18">
        <f t="shared" si="63"/>
        <v>0</v>
      </c>
      <c r="N153" s="18">
        <f t="shared" si="63"/>
        <v>0</v>
      </c>
      <c r="O153" s="18">
        <f t="shared" si="63"/>
        <v>341222.1</v>
      </c>
      <c r="P153" s="18">
        <f t="shared" si="63"/>
        <v>42848.5</v>
      </c>
      <c r="Q153" s="18">
        <f t="shared" si="63"/>
        <v>0</v>
      </c>
      <c r="R153" s="18">
        <f t="shared" si="63"/>
        <v>0</v>
      </c>
      <c r="S153" s="18">
        <f t="shared" si="63"/>
        <v>0</v>
      </c>
      <c r="T153" s="18">
        <f t="shared" si="63"/>
        <v>232847.97000000003</v>
      </c>
      <c r="U153" s="18">
        <f t="shared" si="63"/>
        <v>58809.909999999996</v>
      </c>
      <c r="V153" s="18">
        <f t="shared" si="63"/>
        <v>6715.72</v>
      </c>
      <c r="W153" s="18">
        <f t="shared" si="63"/>
        <v>0</v>
      </c>
      <c r="X153" s="18">
        <f t="shared" si="63"/>
        <v>0</v>
      </c>
      <c r="Y153" s="17"/>
      <c r="Z153" s="19"/>
      <c r="AA153" s="19"/>
      <c r="AB153" s="19"/>
      <c r="AC153" s="20"/>
    </row>
    <row r="154" spans="1:29" ht="85.5" customHeight="1" x14ac:dyDescent="0.25">
      <c r="A154" s="21" t="s">
        <v>390</v>
      </c>
      <c r="B154" s="22" t="s">
        <v>391</v>
      </c>
      <c r="C154" s="23"/>
      <c r="D154" s="23" t="s">
        <v>191</v>
      </c>
      <c r="E154" s="24">
        <f>SUM(E155:E157)+107026</f>
        <v>107026</v>
      </c>
      <c r="F154" s="24">
        <f>SUM(F155:F157)+2000</f>
        <v>2000</v>
      </c>
      <c r="G154" s="24">
        <f>SUM(G155:G157)</f>
        <v>0</v>
      </c>
      <c r="H154" s="24">
        <f>SUM(H155:H157)</f>
        <v>0</v>
      </c>
      <c r="I154" s="24">
        <f>SUM(I155:I157)</f>
        <v>0</v>
      </c>
      <c r="J154" s="24">
        <f>SUM(J155:J157)+85000</f>
        <v>85000</v>
      </c>
      <c r="K154" s="24">
        <f>SUM(K155:K157)+20026</f>
        <v>20026</v>
      </c>
      <c r="L154" s="24">
        <f>SUM(L155:L157)</f>
        <v>0</v>
      </c>
      <c r="M154" s="24">
        <f>SUM(M155:M157)</f>
        <v>0</v>
      </c>
      <c r="N154" s="24">
        <f>SUM(N155:N157)</f>
        <v>0</v>
      </c>
      <c r="O154" s="24">
        <f>SUM(O155:O157)+105929.71</f>
        <v>105929.71</v>
      </c>
      <c r="P154" s="24">
        <f>SUM(P155:P157)+1346.08</f>
        <v>1346.08</v>
      </c>
      <c r="Q154" s="24">
        <f>SUM(Q155:Q157)</f>
        <v>0</v>
      </c>
      <c r="R154" s="24">
        <f>SUM(R155:R157)</f>
        <v>0</v>
      </c>
      <c r="S154" s="24">
        <f>SUM(S155:S157)</f>
        <v>0</v>
      </c>
      <c r="T154" s="24">
        <f>SUM(T155:T157)+85574.03</f>
        <v>85574.03</v>
      </c>
      <c r="U154" s="24">
        <f>SUM(U155:U157)+19009.6</f>
        <v>19009.599999999999</v>
      </c>
      <c r="V154" s="24">
        <f>SUM(V155:V157)</f>
        <v>0</v>
      </c>
      <c r="W154" s="24">
        <f>SUM(W155:W157)</f>
        <v>0</v>
      </c>
      <c r="X154" s="24">
        <f>SUM(X155:X157)</f>
        <v>0</v>
      </c>
      <c r="Y154" s="23" t="s">
        <v>198</v>
      </c>
      <c r="Z154" s="25" t="s">
        <v>34</v>
      </c>
      <c r="AA154" s="25" t="s">
        <v>42</v>
      </c>
      <c r="AB154" s="25" t="s">
        <v>42</v>
      </c>
      <c r="AC154" s="26"/>
    </row>
    <row r="155" spans="1:29" ht="30" customHeight="1" x14ac:dyDescent="0.25">
      <c r="A155" s="28"/>
      <c r="B155" s="29"/>
      <c r="C155" s="30"/>
      <c r="D155" s="30"/>
      <c r="E155" s="31">
        <v>0</v>
      </c>
      <c r="F155" s="31">
        <v>0</v>
      </c>
      <c r="G155" s="31">
        <v>0</v>
      </c>
      <c r="H155" s="31">
        <v>0</v>
      </c>
      <c r="I155" s="31">
        <v>0</v>
      </c>
      <c r="J155" s="31">
        <v>0</v>
      </c>
      <c r="K155" s="31">
        <v>0</v>
      </c>
      <c r="L155" s="31">
        <v>0</v>
      </c>
      <c r="M155" s="31">
        <v>0</v>
      </c>
      <c r="N155" s="31">
        <v>0</v>
      </c>
      <c r="O155" s="31">
        <v>0</v>
      </c>
      <c r="P155" s="31">
        <v>0</v>
      </c>
      <c r="Q155" s="31">
        <v>0</v>
      </c>
      <c r="R155" s="31">
        <v>0</v>
      </c>
      <c r="S155" s="31">
        <v>0</v>
      </c>
      <c r="T155" s="31">
        <v>0</v>
      </c>
      <c r="U155" s="31">
        <v>0</v>
      </c>
      <c r="V155" s="31">
        <v>0</v>
      </c>
      <c r="W155" s="31">
        <v>0</v>
      </c>
      <c r="X155" s="31">
        <v>0</v>
      </c>
      <c r="Y155" s="30" t="s">
        <v>392</v>
      </c>
      <c r="Z155" s="32" t="s">
        <v>34</v>
      </c>
      <c r="AA155" s="32" t="s">
        <v>42</v>
      </c>
      <c r="AB155" s="32" t="s">
        <v>42</v>
      </c>
      <c r="AC155" s="33"/>
    </row>
    <row r="156" spans="1:29" ht="42.75" customHeight="1" x14ac:dyDescent="0.25">
      <c r="A156" s="21" t="s">
        <v>393</v>
      </c>
      <c r="B156" s="22" t="s">
        <v>394</v>
      </c>
      <c r="C156" s="23"/>
      <c r="D156" s="23" t="s">
        <v>191</v>
      </c>
      <c r="E156" s="27">
        <v>0</v>
      </c>
      <c r="F156" s="27">
        <v>0</v>
      </c>
      <c r="G156" s="27">
        <v>0</v>
      </c>
      <c r="H156" s="27">
        <v>0</v>
      </c>
      <c r="I156" s="27">
        <v>0</v>
      </c>
      <c r="J156" s="27">
        <v>0</v>
      </c>
      <c r="K156" s="27">
        <v>0</v>
      </c>
      <c r="L156" s="27">
        <v>0</v>
      </c>
      <c r="M156" s="27">
        <v>0</v>
      </c>
      <c r="N156" s="27">
        <v>0</v>
      </c>
      <c r="O156" s="27">
        <v>0</v>
      </c>
      <c r="P156" s="27">
        <v>0</v>
      </c>
      <c r="Q156" s="27">
        <v>0</v>
      </c>
      <c r="R156" s="27">
        <v>0</v>
      </c>
      <c r="S156" s="27">
        <v>0</v>
      </c>
      <c r="T156" s="27">
        <v>0</v>
      </c>
      <c r="U156" s="27">
        <v>0</v>
      </c>
      <c r="V156" s="27">
        <v>0</v>
      </c>
      <c r="W156" s="27">
        <v>0</v>
      </c>
      <c r="X156" s="27">
        <v>0</v>
      </c>
      <c r="Y156" s="23"/>
      <c r="Z156" s="25"/>
      <c r="AA156" s="25"/>
      <c r="AB156" s="25"/>
      <c r="AC156" s="26"/>
    </row>
    <row r="157" spans="1:29" ht="96" customHeight="1" x14ac:dyDescent="0.25">
      <c r="A157" s="21" t="s">
        <v>395</v>
      </c>
      <c r="B157" s="22" t="s">
        <v>396</v>
      </c>
      <c r="C157" s="23"/>
      <c r="D157" s="23" t="s">
        <v>191</v>
      </c>
      <c r="E157" s="27">
        <v>0</v>
      </c>
      <c r="F157" s="27">
        <v>0</v>
      </c>
      <c r="G157" s="27">
        <v>0</v>
      </c>
      <c r="H157" s="27">
        <v>0</v>
      </c>
      <c r="I157" s="27">
        <v>0</v>
      </c>
      <c r="J157" s="27">
        <v>0</v>
      </c>
      <c r="K157" s="27">
        <v>0</v>
      </c>
      <c r="L157" s="27">
        <v>0</v>
      </c>
      <c r="M157" s="27">
        <v>0</v>
      </c>
      <c r="N157" s="27">
        <v>0</v>
      </c>
      <c r="O157" s="27">
        <v>0</v>
      </c>
      <c r="P157" s="27">
        <v>0</v>
      </c>
      <c r="Q157" s="27">
        <v>0</v>
      </c>
      <c r="R157" s="27">
        <v>0</v>
      </c>
      <c r="S157" s="27">
        <v>0</v>
      </c>
      <c r="T157" s="27">
        <v>0</v>
      </c>
      <c r="U157" s="27">
        <v>0</v>
      </c>
      <c r="V157" s="27">
        <v>0</v>
      </c>
      <c r="W157" s="27">
        <v>0</v>
      </c>
      <c r="X157" s="27">
        <v>0</v>
      </c>
      <c r="Y157" s="23"/>
      <c r="Z157" s="25"/>
      <c r="AA157" s="25"/>
      <c r="AB157" s="25"/>
      <c r="AC157" s="26"/>
    </row>
    <row r="158" spans="1:29" ht="78" customHeight="1" x14ac:dyDescent="0.25">
      <c r="A158" s="21" t="s">
        <v>397</v>
      </c>
      <c r="B158" s="22" t="s">
        <v>398</v>
      </c>
      <c r="C158" s="23"/>
      <c r="D158" s="23" t="s">
        <v>197</v>
      </c>
      <c r="E158" s="24">
        <f>SUM(E159:E161)+46850</f>
        <v>46850</v>
      </c>
      <c r="F158" s="24">
        <f>SUM(F159:F161)+16850</f>
        <v>16850</v>
      </c>
      <c r="G158" s="24">
        <f>SUM(G159:G161)</f>
        <v>0</v>
      </c>
      <c r="H158" s="24">
        <f>SUM(H159:H161)</f>
        <v>0</v>
      </c>
      <c r="I158" s="24">
        <f>SUM(I159:I161)</f>
        <v>0</v>
      </c>
      <c r="J158" s="24">
        <f>SUM(J159:J161)+30000</f>
        <v>30000</v>
      </c>
      <c r="K158" s="24">
        <f>SUM(K159:K161)</f>
        <v>0</v>
      </c>
      <c r="L158" s="24">
        <f>SUM(L159:L161)</f>
        <v>0</v>
      </c>
      <c r="M158" s="24">
        <f>SUM(M159:M161)</f>
        <v>0</v>
      </c>
      <c r="N158" s="24">
        <f>SUM(N159:N161)</f>
        <v>0</v>
      </c>
      <c r="O158" s="24">
        <f>SUM(O159:O161)+46849.14</f>
        <v>46849.14</v>
      </c>
      <c r="P158" s="24">
        <f>SUM(P159:P161)+16849.73</f>
        <v>16849.73</v>
      </c>
      <c r="Q158" s="24">
        <f>SUM(Q159:Q161)</f>
        <v>0</v>
      </c>
      <c r="R158" s="24">
        <f>SUM(R159:R161)</f>
        <v>0</v>
      </c>
      <c r="S158" s="24">
        <f>SUM(S159:S161)</f>
        <v>0</v>
      </c>
      <c r="T158" s="24">
        <f>SUM(T159:T161)+29999.41</f>
        <v>29999.41</v>
      </c>
      <c r="U158" s="24">
        <f>SUM(U159:U161)</f>
        <v>0</v>
      </c>
      <c r="V158" s="24">
        <f>SUM(V159:V161)</f>
        <v>0</v>
      </c>
      <c r="W158" s="24">
        <f>SUM(W159:W161)</f>
        <v>0</v>
      </c>
      <c r="X158" s="24">
        <f>SUM(X159:X161)</f>
        <v>0</v>
      </c>
      <c r="Y158" s="23" t="s">
        <v>198</v>
      </c>
      <c r="Z158" s="25" t="s">
        <v>34</v>
      </c>
      <c r="AA158" s="25" t="s">
        <v>42</v>
      </c>
      <c r="AB158" s="25" t="s">
        <v>42</v>
      </c>
      <c r="AC158" s="26"/>
    </row>
    <row r="159" spans="1:29" ht="26.25" customHeight="1" x14ac:dyDescent="0.25">
      <c r="A159" s="28"/>
      <c r="B159" s="29"/>
      <c r="C159" s="30"/>
      <c r="D159" s="30"/>
      <c r="E159" s="31">
        <v>0</v>
      </c>
      <c r="F159" s="31">
        <v>0</v>
      </c>
      <c r="G159" s="31">
        <v>0</v>
      </c>
      <c r="H159" s="31">
        <v>0</v>
      </c>
      <c r="I159" s="31">
        <v>0</v>
      </c>
      <c r="J159" s="31">
        <v>0</v>
      </c>
      <c r="K159" s="31">
        <v>0</v>
      </c>
      <c r="L159" s="31">
        <v>0</v>
      </c>
      <c r="M159" s="31">
        <v>0</v>
      </c>
      <c r="N159" s="31">
        <v>0</v>
      </c>
      <c r="O159" s="31">
        <v>0</v>
      </c>
      <c r="P159" s="31">
        <v>0</v>
      </c>
      <c r="Q159" s="31">
        <v>0</v>
      </c>
      <c r="R159" s="31">
        <v>0</v>
      </c>
      <c r="S159" s="31">
        <v>0</v>
      </c>
      <c r="T159" s="31">
        <v>0</v>
      </c>
      <c r="U159" s="31">
        <v>0</v>
      </c>
      <c r="V159" s="31">
        <v>0</v>
      </c>
      <c r="W159" s="31">
        <v>0</v>
      </c>
      <c r="X159" s="31">
        <v>0</v>
      </c>
      <c r="Y159" s="30" t="s">
        <v>382</v>
      </c>
      <c r="Z159" s="32" t="s">
        <v>34</v>
      </c>
      <c r="AA159" s="32" t="s">
        <v>48</v>
      </c>
      <c r="AB159" s="32" t="s">
        <v>42</v>
      </c>
      <c r="AC159" s="33"/>
    </row>
    <row r="160" spans="1:29" ht="155.25" customHeight="1" x14ac:dyDescent="0.25">
      <c r="A160" s="21" t="s">
        <v>399</v>
      </c>
      <c r="B160" s="22" t="s">
        <v>400</v>
      </c>
      <c r="C160" s="23"/>
      <c r="D160" s="23" t="s">
        <v>197</v>
      </c>
      <c r="E160" s="27">
        <v>0</v>
      </c>
      <c r="F160" s="27">
        <v>0</v>
      </c>
      <c r="G160" s="27">
        <v>0</v>
      </c>
      <c r="H160" s="27">
        <v>0</v>
      </c>
      <c r="I160" s="27">
        <v>0</v>
      </c>
      <c r="J160" s="27">
        <v>0</v>
      </c>
      <c r="K160" s="27">
        <v>0</v>
      </c>
      <c r="L160" s="27">
        <v>0</v>
      </c>
      <c r="M160" s="27">
        <v>0</v>
      </c>
      <c r="N160" s="27">
        <v>0</v>
      </c>
      <c r="O160" s="27">
        <v>0</v>
      </c>
      <c r="P160" s="27">
        <v>0</v>
      </c>
      <c r="Q160" s="27">
        <v>0</v>
      </c>
      <c r="R160" s="27">
        <v>0</v>
      </c>
      <c r="S160" s="27">
        <v>0</v>
      </c>
      <c r="T160" s="27">
        <v>0</v>
      </c>
      <c r="U160" s="27">
        <v>0</v>
      </c>
      <c r="V160" s="27">
        <v>0</v>
      </c>
      <c r="W160" s="27">
        <v>0</v>
      </c>
      <c r="X160" s="27">
        <v>0</v>
      </c>
      <c r="Y160" s="23"/>
      <c r="Z160" s="25"/>
      <c r="AA160" s="25"/>
      <c r="AB160" s="25"/>
      <c r="AC160" s="26"/>
    </row>
    <row r="161" spans="1:29" ht="41.25" customHeight="1" x14ac:dyDescent="0.25">
      <c r="A161" s="21" t="s">
        <v>401</v>
      </c>
      <c r="B161" s="22" t="s">
        <v>402</v>
      </c>
      <c r="C161" s="23"/>
      <c r="D161" s="23" t="s">
        <v>197</v>
      </c>
      <c r="E161" s="27">
        <v>0</v>
      </c>
      <c r="F161" s="27">
        <v>0</v>
      </c>
      <c r="G161" s="27">
        <v>0</v>
      </c>
      <c r="H161" s="27">
        <v>0</v>
      </c>
      <c r="I161" s="27">
        <v>0</v>
      </c>
      <c r="J161" s="27">
        <v>0</v>
      </c>
      <c r="K161" s="27">
        <v>0</v>
      </c>
      <c r="L161" s="27">
        <v>0</v>
      </c>
      <c r="M161" s="27">
        <v>0</v>
      </c>
      <c r="N161" s="27">
        <v>0</v>
      </c>
      <c r="O161" s="27">
        <v>0</v>
      </c>
      <c r="P161" s="27">
        <v>0</v>
      </c>
      <c r="Q161" s="27">
        <v>0</v>
      </c>
      <c r="R161" s="27">
        <v>0</v>
      </c>
      <c r="S161" s="27">
        <v>0</v>
      </c>
      <c r="T161" s="27">
        <v>0</v>
      </c>
      <c r="U161" s="27">
        <v>0</v>
      </c>
      <c r="V161" s="27">
        <v>0</v>
      </c>
      <c r="W161" s="27">
        <v>0</v>
      </c>
      <c r="X161" s="27">
        <v>0</v>
      </c>
      <c r="Y161" s="23"/>
      <c r="Z161" s="25"/>
      <c r="AA161" s="25"/>
      <c r="AB161" s="25"/>
      <c r="AC161" s="26"/>
    </row>
    <row r="162" spans="1:29" ht="71.25" customHeight="1" x14ac:dyDescent="0.25">
      <c r="A162" s="21" t="s">
        <v>403</v>
      </c>
      <c r="B162" s="22" t="s">
        <v>404</v>
      </c>
      <c r="C162" s="23"/>
      <c r="D162" s="23" t="s">
        <v>197</v>
      </c>
      <c r="E162" s="24">
        <f>SUM(E163:E165)+20000</f>
        <v>20000</v>
      </c>
      <c r="F162" s="24">
        <f>SUM(F163:F165)</f>
        <v>0</v>
      </c>
      <c r="G162" s="24">
        <f>SUM(G163:G165)</f>
        <v>0</v>
      </c>
      <c r="H162" s="24">
        <f>SUM(H163:H165)</f>
        <v>0</v>
      </c>
      <c r="I162" s="24">
        <f>SUM(I163:I165)</f>
        <v>0</v>
      </c>
      <c r="J162" s="24">
        <f>SUM(J163:J165)+20000</f>
        <v>20000</v>
      </c>
      <c r="K162" s="24">
        <f>SUM(K163:K165)</f>
        <v>0</v>
      </c>
      <c r="L162" s="24">
        <f>SUM(L163:L165)</f>
        <v>0</v>
      </c>
      <c r="M162" s="24">
        <f>SUM(M163:M165)</f>
        <v>0</v>
      </c>
      <c r="N162" s="24">
        <f>SUM(N163:N165)</f>
        <v>0</v>
      </c>
      <c r="O162" s="24">
        <f>SUM(O163:O165)+486.42</f>
        <v>486.42</v>
      </c>
      <c r="P162" s="24">
        <f>SUM(P163:P165)+243.21</f>
        <v>243.21</v>
      </c>
      <c r="Q162" s="24">
        <f>SUM(Q163:Q165)</f>
        <v>0</v>
      </c>
      <c r="R162" s="24">
        <f>SUM(R163:R165)</f>
        <v>0</v>
      </c>
      <c r="S162" s="24">
        <f>SUM(S163:S165)</f>
        <v>0</v>
      </c>
      <c r="T162" s="24">
        <f>SUM(T163:T165)+243.21</f>
        <v>243.21</v>
      </c>
      <c r="U162" s="24">
        <f>SUM(U163:U165)</f>
        <v>0</v>
      </c>
      <c r="V162" s="24">
        <f>SUM(V163:V165)</f>
        <v>0</v>
      </c>
      <c r="W162" s="24">
        <f>SUM(W163:W165)</f>
        <v>0</v>
      </c>
      <c r="X162" s="24">
        <f>SUM(X163:X165)</f>
        <v>0</v>
      </c>
      <c r="Y162" s="23" t="s">
        <v>198</v>
      </c>
      <c r="Z162" s="25" t="s">
        <v>34</v>
      </c>
      <c r="AA162" s="25" t="s">
        <v>42</v>
      </c>
      <c r="AB162" s="25" t="s">
        <v>109</v>
      </c>
      <c r="AC162" s="26" t="s">
        <v>405</v>
      </c>
    </row>
    <row r="163" spans="1:29" ht="27.75" customHeight="1" x14ac:dyDescent="0.25">
      <c r="A163" s="28"/>
      <c r="B163" s="29"/>
      <c r="C163" s="30"/>
      <c r="D163" s="30"/>
      <c r="E163" s="31">
        <v>0</v>
      </c>
      <c r="F163" s="31">
        <v>0</v>
      </c>
      <c r="G163" s="31">
        <v>0</v>
      </c>
      <c r="H163" s="31">
        <v>0</v>
      </c>
      <c r="I163" s="31">
        <v>0</v>
      </c>
      <c r="J163" s="31">
        <v>0</v>
      </c>
      <c r="K163" s="31">
        <v>0</v>
      </c>
      <c r="L163" s="31">
        <v>0</v>
      </c>
      <c r="M163" s="31">
        <v>0</v>
      </c>
      <c r="N163" s="31">
        <v>0</v>
      </c>
      <c r="O163" s="31">
        <v>0</v>
      </c>
      <c r="P163" s="31">
        <v>0</v>
      </c>
      <c r="Q163" s="31">
        <v>0</v>
      </c>
      <c r="R163" s="31">
        <v>0</v>
      </c>
      <c r="S163" s="31">
        <v>0</v>
      </c>
      <c r="T163" s="31">
        <v>0</v>
      </c>
      <c r="U163" s="31">
        <v>0</v>
      </c>
      <c r="V163" s="31">
        <v>0</v>
      </c>
      <c r="W163" s="31">
        <v>0</v>
      </c>
      <c r="X163" s="31">
        <v>0</v>
      </c>
      <c r="Y163" s="30" t="s">
        <v>382</v>
      </c>
      <c r="Z163" s="32" t="s">
        <v>34</v>
      </c>
      <c r="AA163" s="32" t="s">
        <v>42</v>
      </c>
      <c r="AB163" s="32" t="s">
        <v>42</v>
      </c>
      <c r="AC163" s="33"/>
    </row>
    <row r="164" spans="1:29" ht="90.75" customHeight="1" x14ac:dyDescent="0.25">
      <c r="A164" s="21" t="s">
        <v>406</v>
      </c>
      <c r="B164" s="22" t="s">
        <v>407</v>
      </c>
      <c r="C164" s="23"/>
      <c r="D164" s="23" t="s">
        <v>197</v>
      </c>
      <c r="E164" s="27">
        <v>0</v>
      </c>
      <c r="F164" s="27">
        <v>0</v>
      </c>
      <c r="G164" s="27">
        <v>0</v>
      </c>
      <c r="H164" s="27">
        <v>0</v>
      </c>
      <c r="I164" s="27">
        <v>0</v>
      </c>
      <c r="J164" s="27">
        <v>0</v>
      </c>
      <c r="K164" s="27">
        <v>0</v>
      </c>
      <c r="L164" s="27">
        <v>0</v>
      </c>
      <c r="M164" s="27">
        <v>0</v>
      </c>
      <c r="N164" s="27">
        <v>0</v>
      </c>
      <c r="O164" s="27">
        <v>0</v>
      </c>
      <c r="P164" s="27">
        <v>0</v>
      </c>
      <c r="Q164" s="27">
        <v>0</v>
      </c>
      <c r="R164" s="27">
        <v>0</v>
      </c>
      <c r="S164" s="27">
        <v>0</v>
      </c>
      <c r="T164" s="27">
        <v>0</v>
      </c>
      <c r="U164" s="27">
        <v>0</v>
      </c>
      <c r="V164" s="27">
        <v>0</v>
      </c>
      <c r="W164" s="27">
        <v>0</v>
      </c>
      <c r="X164" s="27">
        <v>0</v>
      </c>
      <c r="Y164" s="23"/>
      <c r="Z164" s="25"/>
      <c r="AA164" s="25"/>
      <c r="AB164" s="25"/>
      <c r="AC164" s="26"/>
    </row>
    <row r="165" spans="1:29" ht="27.75" customHeight="1" x14ac:dyDescent="0.25">
      <c r="A165" s="21" t="s">
        <v>408</v>
      </c>
      <c r="B165" s="22" t="s">
        <v>402</v>
      </c>
      <c r="C165" s="23"/>
      <c r="D165" s="23" t="s">
        <v>197</v>
      </c>
      <c r="E165" s="27">
        <v>0</v>
      </c>
      <c r="F165" s="27">
        <v>0</v>
      </c>
      <c r="G165" s="27">
        <v>0</v>
      </c>
      <c r="H165" s="27">
        <v>0</v>
      </c>
      <c r="I165" s="27">
        <v>0</v>
      </c>
      <c r="J165" s="27">
        <v>0</v>
      </c>
      <c r="K165" s="27">
        <v>0</v>
      </c>
      <c r="L165" s="27">
        <v>0</v>
      </c>
      <c r="M165" s="27">
        <v>0</v>
      </c>
      <c r="N165" s="27">
        <v>0</v>
      </c>
      <c r="O165" s="27">
        <v>0</v>
      </c>
      <c r="P165" s="27">
        <v>0</v>
      </c>
      <c r="Q165" s="27">
        <v>0</v>
      </c>
      <c r="R165" s="27">
        <v>0</v>
      </c>
      <c r="S165" s="27">
        <v>0</v>
      </c>
      <c r="T165" s="27">
        <v>0</v>
      </c>
      <c r="U165" s="27">
        <v>0</v>
      </c>
      <c r="V165" s="27">
        <v>0</v>
      </c>
      <c r="W165" s="27">
        <v>0</v>
      </c>
      <c r="X165" s="27">
        <v>0</v>
      </c>
      <c r="Y165" s="23"/>
      <c r="Z165" s="25"/>
      <c r="AA165" s="25"/>
      <c r="AB165" s="25"/>
      <c r="AC165" s="26"/>
    </row>
    <row r="166" spans="1:29" ht="74.25" customHeight="1" x14ac:dyDescent="0.25">
      <c r="A166" s="21" t="s">
        <v>409</v>
      </c>
      <c r="B166" s="22" t="s">
        <v>410</v>
      </c>
      <c r="C166" s="23"/>
      <c r="D166" s="23" t="s">
        <v>367</v>
      </c>
      <c r="E166" s="24">
        <f>SUM(E167:E169)+28994.3</f>
        <v>28994.3</v>
      </c>
      <c r="F166" s="24">
        <f>SUM(F167:F169)</f>
        <v>0</v>
      </c>
      <c r="G166" s="24">
        <f>SUM(G167:G169)</f>
        <v>0</v>
      </c>
      <c r="H166" s="24">
        <f>SUM(H167:H169)</f>
        <v>0</v>
      </c>
      <c r="I166" s="24">
        <f>SUM(I167:I169)</f>
        <v>0</v>
      </c>
      <c r="J166" s="24">
        <f>SUM(J167:J169)+15000</f>
        <v>15000</v>
      </c>
      <c r="K166" s="24">
        <f>SUM(K167:K169)+13994.3</f>
        <v>13994.3</v>
      </c>
      <c r="L166" s="24">
        <f>SUM(L167:L169)</f>
        <v>0</v>
      </c>
      <c r="M166" s="24">
        <f>SUM(M167:M169)</f>
        <v>0</v>
      </c>
      <c r="N166" s="24">
        <f>SUM(N167:N169)</f>
        <v>0</v>
      </c>
      <c r="O166" s="24">
        <f>SUM(O167:O169)+29662.8</f>
        <v>29662.799999999999</v>
      </c>
      <c r="P166" s="24">
        <f>SUM(P167:P169)+486.42</f>
        <v>486.42</v>
      </c>
      <c r="Q166" s="24">
        <f>SUM(Q167:Q169)</f>
        <v>0</v>
      </c>
      <c r="R166" s="24">
        <f>SUM(R167:R169)</f>
        <v>0</v>
      </c>
      <c r="S166" s="24">
        <f>SUM(S167:S169)</f>
        <v>0</v>
      </c>
      <c r="T166" s="24">
        <f>SUM(T167:T169)+28231.81</f>
        <v>28231.81</v>
      </c>
      <c r="U166" s="24">
        <f>SUM(U167:U169)+944.57</f>
        <v>944.57</v>
      </c>
      <c r="V166" s="24">
        <f>SUM(V167:V169)</f>
        <v>0</v>
      </c>
      <c r="W166" s="24">
        <f>SUM(W167:W169)</f>
        <v>0</v>
      </c>
      <c r="X166" s="24">
        <f>SUM(X167:X169)</f>
        <v>0</v>
      </c>
      <c r="Y166" s="23" t="s">
        <v>411</v>
      </c>
      <c r="Z166" s="25" t="s">
        <v>34</v>
      </c>
      <c r="AA166" s="25" t="s">
        <v>42</v>
      </c>
      <c r="AB166" s="25" t="s">
        <v>48</v>
      </c>
      <c r="AC166" s="26" t="s">
        <v>412</v>
      </c>
    </row>
    <row r="167" spans="1:29" ht="27.75" customHeight="1" x14ac:dyDescent="0.25">
      <c r="A167" s="28"/>
      <c r="B167" s="29"/>
      <c r="C167" s="30"/>
      <c r="D167" s="30"/>
      <c r="E167" s="31">
        <v>0</v>
      </c>
      <c r="F167" s="31">
        <v>0</v>
      </c>
      <c r="G167" s="31">
        <v>0</v>
      </c>
      <c r="H167" s="31">
        <v>0</v>
      </c>
      <c r="I167" s="31">
        <v>0</v>
      </c>
      <c r="J167" s="31">
        <v>0</v>
      </c>
      <c r="K167" s="31">
        <v>0</v>
      </c>
      <c r="L167" s="31">
        <v>0</v>
      </c>
      <c r="M167" s="31">
        <v>0</v>
      </c>
      <c r="N167" s="31">
        <v>0</v>
      </c>
      <c r="O167" s="31">
        <v>0</v>
      </c>
      <c r="P167" s="31">
        <v>0</v>
      </c>
      <c r="Q167" s="31">
        <v>0</v>
      </c>
      <c r="R167" s="31">
        <v>0</v>
      </c>
      <c r="S167" s="31">
        <v>0</v>
      </c>
      <c r="T167" s="31">
        <v>0</v>
      </c>
      <c r="U167" s="31">
        <v>0</v>
      </c>
      <c r="V167" s="31">
        <v>0</v>
      </c>
      <c r="W167" s="31">
        <v>0</v>
      </c>
      <c r="X167" s="31">
        <v>0</v>
      </c>
      <c r="Y167" s="30" t="s">
        <v>198</v>
      </c>
      <c r="Z167" s="32" t="s">
        <v>34</v>
      </c>
      <c r="AA167" s="32" t="s">
        <v>42</v>
      </c>
      <c r="AB167" s="32" t="s">
        <v>42</v>
      </c>
      <c r="AC167" s="33"/>
    </row>
    <row r="168" spans="1:29" ht="55.5" customHeight="1" x14ac:dyDescent="0.25">
      <c r="A168" s="21" t="s">
        <v>413</v>
      </c>
      <c r="B168" s="22" t="s">
        <v>226</v>
      </c>
      <c r="C168" s="23"/>
      <c r="D168" s="23" t="s">
        <v>367</v>
      </c>
      <c r="E168" s="27">
        <v>0</v>
      </c>
      <c r="F168" s="27">
        <v>0</v>
      </c>
      <c r="G168" s="27">
        <v>0</v>
      </c>
      <c r="H168" s="27">
        <v>0</v>
      </c>
      <c r="I168" s="27">
        <v>0</v>
      </c>
      <c r="J168" s="27">
        <v>0</v>
      </c>
      <c r="K168" s="27">
        <v>0</v>
      </c>
      <c r="L168" s="27">
        <v>0</v>
      </c>
      <c r="M168" s="27">
        <v>0</v>
      </c>
      <c r="N168" s="27">
        <v>0</v>
      </c>
      <c r="O168" s="27">
        <v>0</v>
      </c>
      <c r="P168" s="27">
        <v>0</v>
      </c>
      <c r="Q168" s="27">
        <v>0</v>
      </c>
      <c r="R168" s="27">
        <v>0</v>
      </c>
      <c r="S168" s="27">
        <v>0</v>
      </c>
      <c r="T168" s="27">
        <v>0</v>
      </c>
      <c r="U168" s="27">
        <v>0</v>
      </c>
      <c r="V168" s="27">
        <v>0</v>
      </c>
      <c r="W168" s="27">
        <v>0</v>
      </c>
      <c r="X168" s="27">
        <v>0</v>
      </c>
      <c r="Y168" s="23"/>
      <c r="Z168" s="25"/>
      <c r="AA168" s="25"/>
      <c r="AB168" s="25"/>
      <c r="AC168" s="26"/>
    </row>
    <row r="169" spans="1:29" ht="59.25" customHeight="1" x14ac:dyDescent="0.25">
      <c r="A169" s="21" t="s">
        <v>414</v>
      </c>
      <c r="B169" s="22" t="s">
        <v>415</v>
      </c>
      <c r="C169" s="23"/>
      <c r="D169" s="23" t="s">
        <v>367</v>
      </c>
      <c r="E169" s="27">
        <v>0</v>
      </c>
      <c r="F169" s="27">
        <v>0</v>
      </c>
      <c r="G169" s="27">
        <v>0</v>
      </c>
      <c r="H169" s="27">
        <v>0</v>
      </c>
      <c r="I169" s="27">
        <v>0</v>
      </c>
      <c r="J169" s="27">
        <v>0</v>
      </c>
      <c r="K169" s="27">
        <v>0</v>
      </c>
      <c r="L169" s="27">
        <v>0</v>
      </c>
      <c r="M169" s="27">
        <v>0</v>
      </c>
      <c r="N169" s="27">
        <v>0</v>
      </c>
      <c r="O169" s="27">
        <v>0</v>
      </c>
      <c r="P169" s="27">
        <v>0</v>
      </c>
      <c r="Q169" s="27">
        <v>0</v>
      </c>
      <c r="R169" s="27">
        <v>0</v>
      </c>
      <c r="S169" s="27">
        <v>0</v>
      </c>
      <c r="T169" s="27">
        <v>0</v>
      </c>
      <c r="U169" s="27">
        <v>0</v>
      </c>
      <c r="V169" s="27">
        <v>0</v>
      </c>
      <c r="W169" s="27">
        <v>0</v>
      </c>
      <c r="X169" s="27">
        <v>0</v>
      </c>
      <c r="Y169" s="23"/>
      <c r="Z169" s="25"/>
      <c r="AA169" s="25"/>
      <c r="AB169" s="25"/>
      <c r="AC169" s="26"/>
    </row>
    <row r="170" spans="1:29" ht="66" customHeight="1" x14ac:dyDescent="0.25">
      <c r="A170" s="21" t="s">
        <v>416</v>
      </c>
      <c r="B170" s="22" t="s">
        <v>417</v>
      </c>
      <c r="C170" s="23"/>
      <c r="D170" s="23" t="s">
        <v>367</v>
      </c>
      <c r="E170" s="24">
        <f>SUM(E171:E173)+30226</f>
        <v>30226</v>
      </c>
      <c r="F170" s="24">
        <f>SUM(F171:F173)+10462</f>
        <v>10462</v>
      </c>
      <c r="G170" s="24">
        <f>SUM(G171:G173)</f>
        <v>0</v>
      </c>
      <c r="H170" s="24">
        <f>SUM(H171:H173)</f>
        <v>0</v>
      </c>
      <c r="I170" s="24">
        <f>SUM(I171:I173)</f>
        <v>0</v>
      </c>
      <c r="J170" s="24">
        <f>SUM(J171:J173)+14764</f>
        <v>14764</v>
      </c>
      <c r="K170" s="24">
        <f>SUM(K171:K173)+5000</f>
        <v>5000</v>
      </c>
      <c r="L170" s="24">
        <f>SUM(L171:L173)</f>
        <v>0</v>
      </c>
      <c r="M170" s="24">
        <f>SUM(M171:M173)</f>
        <v>0</v>
      </c>
      <c r="N170" s="24">
        <f>SUM(N171:N173)</f>
        <v>0</v>
      </c>
      <c r="O170" s="24">
        <f>SUM(O171:O173)+50451.06</f>
        <v>50451.06</v>
      </c>
      <c r="P170" s="24">
        <f>SUM(P171:P173)+20923.06</f>
        <v>20923.060000000001</v>
      </c>
      <c r="Q170" s="24">
        <f>SUM(Q171:Q173)</f>
        <v>0</v>
      </c>
      <c r="R170" s="24">
        <f>SUM(R171:R173)</f>
        <v>0</v>
      </c>
      <c r="S170" s="24">
        <f>SUM(S171:S173)</f>
        <v>0</v>
      </c>
      <c r="T170" s="24">
        <f>SUM(T171:T173)+29528</f>
        <v>29528</v>
      </c>
      <c r="U170" s="24">
        <f>SUM(U171:U173)</f>
        <v>0</v>
      </c>
      <c r="V170" s="24">
        <f>SUM(V171:V173)</f>
        <v>0</v>
      </c>
      <c r="W170" s="24">
        <f>SUM(W171:W173)</f>
        <v>0</v>
      </c>
      <c r="X170" s="24">
        <f>SUM(X171:X173)</f>
        <v>0</v>
      </c>
      <c r="Y170" s="23" t="s">
        <v>418</v>
      </c>
      <c r="Z170" s="25" t="s">
        <v>34</v>
      </c>
      <c r="AA170" s="25" t="s">
        <v>42</v>
      </c>
      <c r="AB170" s="25" t="s">
        <v>42</v>
      </c>
      <c r="AC170" s="26" t="s">
        <v>419</v>
      </c>
    </row>
    <row r="171" spans="1:29" x14ac:dyDescent="0.25">
      <c r="A171" s="28"/>
      <c r="B171" s="29"/>
      <c r="C171" s="30"/>
      <c r="D171" s="30"/>
      <c r="E171" s="31">
        <v>0</v>
      </c>
      <c r="F171" s="31">
        <v>0</v>
      </c>
      <c r="G171" s="31">
        <v>0</v>
      </c>
      <c r="H171" s="31">
        <v>0</v>
      </c>
      <c r="I171" s="31">
        <v>0</v>
      </c>
      <c r="J171" s="31">
        <v>0</v>
      </c>
      <c r="K171" s="31">
        <v>0</v>
      </c>
      <c r="L171" s="31">
        <v>0</v>
      </c>
      <c r="M171" s="31">
        <v>0</v>
      </c>
      <c r="N171" s="31">
        <v>0</v>
      </c>
      <c r="O171" s="31">
        <v>0</v>
      </c>
      <c r="P171" s="31">
        <v>0</v>
      </c>
      <c r="Q171" s="31">
        <v>0</v>
      </c>
      <c r="R171" s="31">
        <v>0</v>
      </c>
      <c r="S171" s="31">
        <v>0</v>
      </c>
      <c r="T171" s="31">
        <v>0</v>
      </c>
      <c r="U171" s="31">
        <v>0</v>
      </c>
      <c r="V171" s="31">
        <v>0</v>
      </c>
      <c r="W171" s="31">
        <v>0</v>
      </c>
      <c r="X171" s="31">
        <v>0</v>
      </c>
      <c r="Y171" s="30" t="s">
        <v>374</v>
      </c>
      <c r="Z171" s="32" t="s">
        <v>34</v>
      </c>
      <c r="AA171" s="32" t="s">
        <v>42</v>
      </c>
      <c r="AB171" s="32" t="s">
        <v>42</v>
      </c>
      <c r="AC171" s="33" t="s">
        <v>420</v>
      </c>
    </row>
    <row r="172" spans="1:29" ht="57.75" customHeight="1" x14ac:dyDescent="0.25">
      <c r="A172" s="21" t="s">
        <v>421</v>
      </c>
      <c r="B172" s="22" t="s">
        <v>226</v>
      </c>
      <c r="C172" s="23"/>
      <c r="D172" s="23" t="s">
        <v>367</v>
      </c>
      <c r="E172" s="27">
        <v>0</v>
      </c>
      <c r="F172" s="27">
        <v>0</v>
      </c>
      <c r="G172" s="27">
        <v>0</v>
      </c>
      <c r="H172" s="27">
        <v>0</v>
      </c>
      <c r="I172" s="27">
        <v>0</v>
      </c>
      <c r="J172" s="27">
        <v>0</v>
      </c>
      <c r="K172" s="27">
        <v>0</v>
      </c>
      <c r="L172" s="27">
        <v>0</v>
      </c>
      <c r="M172" s="27">
        <v>0</v>
      </c>
      <c r="N172" s="27">
        <v>0</v>
      </c>
      <c r="O172" s="27">
        <v>0</v>
      </c>
      <c r="P172" s="27">
        <v>0</v>
      </c>
      <c r="Q172" s="27">
        <v>0</v>
      </c>
      <c r="R172" s="27">
        <v>0</v>
      </c>
      <c r="S172" s="27">
        <v>0</v>
      </c>
      <c r="T172" s="27">
        <v>0</v>
      </c>
      <c r="U172" s="27">
        <v>0</v>
      </c>
      <c r="V172" s="27">
        <v>0</v>
      </c>
      <c r="W172" s="27">
        <v>0</v>
      </c>
      <c r="X172" s="27">
        <v>0</v>
      </c>
      <c r="Y172" s="23"/>
      <c r="Z172" s="25"/>
      <c r="AA172" s="25"/>
      <c r="AB172" s="25"/>
      <c r="AC172" s="26"/>
    </row>
    <row r="173" spans="1:29" ht="64.5" customHeight="1" x14ac:dyDescent="0.25">
      <c r="A173" s="21" t="s">
        <v>422</v>
      </c>
      <c r="B173" s="22" t="s">
        <v>423</v>
      </c>
      <c r="C173" s="23"/>
      <c r="D173" s="23" t="s">
        <v>367</v>
      </c>
      <c r="E173" s="27">
        <v>0</v>
      </c>
      <c r="F173" s="27">
        <v>0</v>
      </c>
      <c r="G173" s="27">
        <v>0</v>
      </c>
      <c r="H173" s="27">
        <v>0</v>
      </c>
      <c r="I173" s="27">
        <v>0</v>
      </c>
      <c r="J173" s="27">
        <v>0</v>
      </c>
      <c r="K173" s="27">
        <v>0</v>
      </c>
      <c r="L173" s="27">
        <v>0</v>
      </c>
      <c r="M173" s="27">
        <v>0</v>
      </c>
      <c r="N173" s="27">
        <v>0</v>
      </c>
      <c r="O173" s="27">
        <v>0</v>
      </c>
      <c r="P173" s="27">
        <v>0</v>
      </c>
      <c r="Q173" s="27">
        <v>0</v>
      </c>
      <c r="R173" s="27">
        <v>0</v>
      </c>
      <c r="S173" s="27">
        <v>0</v>
      </c>
      <c r="T173" s="27">
        <v>0</v>
      </c>
      <c r="U173" s="27">
        <v>0</v>
      </c>
      <c r="V173" s="27">
        <v>0</v>
      </c>
      <c r="W173" s="27">
        <v>0</v>
      </c>
      <c r="X173" s="27">
        <v>0</v>
      </c>
      <c r="Y173" s="23"/>
      <c r="Z173" s="25"/>
      <c r="AA173" s="25"/>
      <c r="AB173" s="25"/>
      <c r="AC173" s="26"/>
    </row>
    <row r="174" spans="1:29" ht="78" customHeight="1" x14ac:dyDescent="0.25">
      <c r="A174" s="21" t="s">
        <v>424</v>
      </c>
      <c r="B174" s="22" t="s">
        <v>425</v>
      </c>
      <c r="C174" s="23"/>
      <c r="D174" s="23" t="s">
        <v>367</v>
      </c>
      <c r="E174" s="24">
        <f>SUM(E175:E177)+20000</f>
        <v>20000</v>
      </c>
      <c r="F174" s="24">
        <f>SUM(F175:F177)</f>
        <v>0</v>
      </c>
      <c r="G174" s="24">
        <f>SUM(G175:G177)</f>
        <v>0</v>
      </c>
      <c r="H174" s="24">
        <f>SUM(H175:H177)</f>
        <v>0</v>
      </c>
      <c r="I174" s="24">
        <f>SUM(I175:I177)</f>
        <v>0</v>
      </c>
      <c r="J174" s="24">
        <f>SUM(J175:J177)+20000</f>
        <v>20000</v>
      </c>
      <c r="K174" s="24">
        <f>SUM(K175:K177)</f>
        <v>0</v>
      </c>
      <c r="L174" s="24">
        <f>SUM(L175:L177)</f>
        <v>0</v>
      </c>
      <c r="M174" s="24">
        <f>SUM(M175:M177)</f>
        <v>0</v>
      </c>
      <c r="N174" s="24">
        <f>SUM(N175:N177)</f>
        <v>0</v>
      </c>
      <c r="O174" s="24">
        <f>SUM(O175:O177)+401.72</f>
        <v>401.72</v>
      </c>
      <c r="P174" s="24">
        <f>SUM(P175:P177)</f>
        <v>0</v>
      </c>
      <c r="Q174" s="24">
        <f>SUM(Q175:Q177)</f>
        <v>0</v>
      </c>
      <c r="R174" s="24">
        <f>SUM(R175:R177)</f>
        <v>0</v>
      </c>
      <c r="S174" s="24">
        <f>SUM(S175:S177)</f>
        <v>0</v>
      </c>
      <c r="T174" s="24">
        <f>SUM(T175:T177)+401.72</f>
        <v>401.72</v>
      </c>
      <c r="U174" s="24">
        <f>SUM(U175:U177)</f>
        <v>0</v>
      </c>
      <c r="V174" s="24">
        <f>SUM(V175:V177)</f>
        <v>0</v>
      </c>
      <c r="W174" s="24">
        <f>SUM(W175:W177)</f>
        <v>0</v>
      </c>
      <c r="X174" s="24">
        <f>SUM(X175:X177)</f>
        <v>0</v>
      </c>
      <c r="Y174" s="23" t="s">
        <v>426</v>
      </c>
      <c r="Z174" s="25" t="s">
        <v>34</v>
      </c>
      <c r="AA174" s="25" t="s">
        <v>42</v>
      </c>
      <c r="AB174" s="25" t="s">
        <v>48</v>
      </c>
      <c r="AC174" s="26"/>
    </row>
    <row r="175" spans="1:29" ht="60.75" x14ac:dyDescent="0.25">
      <c r="A175" s="28"/>
      <c r="B175" s="29"/>
      <c r="C175" s="30"/>
      <c r="D175" s="30"/>
      <c r="E175" s="31">
        <v>0</v>
      </c>
      <c r="F175" s="31">
        <v>0</v>
      </c>
      <c r="G175" s="31">
        <v>0</v>
      </c>
      <c r="H175" s="31">
        <v>0</v>
      </c>
      <c r="I175" s="31">
        <v>0</v>
      </c>
      <c r="J175" s="31">
        <v>0</v>
      </c>
      <c r="K175" s="31">
        <v>0</v>
      </c>
      <c r="L175" s="31">
        <v>0</v>
      </c>
      <c r="M175" s="31">
        <v>0</v>
      </c>
      <c r="N175" s="31">
        <v>0</v>
      </c>
      <c r="O175" s="31">
        <v>0</v>
      </c>
      <c r="P175" s="31">
        <v>0</v>
      </c>
      <c r="Q175" s="31">
        <v>0</v>
      </c>
      <c r="R175" s="31">
        <v>0</v>
      </c>
      <c r="S175" s="31">
        <v>0</v>
      </c>
      <c r="T175" s="31">
        <v>0</v>
      </c>
      <c r="U175" s="31">
        <v>0</v>
      </c>
      <c r="V175" s="31">
        <v>0</v>
      </c>
      <c r="W175" s="31">
        <v>0</v>
      </c>
      <c r="X175" s="31">
        <v>0</v>
      </c>
      <c r="Y175" s="30" t="s">
        <v>198</v>
      </c>
      <c r="Z175" s="32" t="s">
        <v>34</v>
      </c>
      <c r="AA175" s="32" t="s">
        <v>42</v>
      </c>
      <c r="AB175" s="32" t="s">
        <v>48</v>
      </c>
      <c r="AC175" s="33" t="s">
        <v>427</v>
      </c>
    </row>
    <row r="176" spans="1:29" ht="57.75" customHeight="1" x14ac:dyDescent="0.25">
      <c r="A176" s="21" t="s">
        <v>428</v>
      </c>
      <c r="B176" s="22" t="s">
        <v>226</v>
      </c>
      <c r="C176" s="23"/>
      <c r="D176" s="23" t="s">
        <v>367</v>
      </c>
      <c r="E176" s="27">
        <v>0</v>
      </c>
      <c r="F176" s="27">
        <v>0</v>
      </c>
      <c r="G176" s="27">
        <v>0</v>
      </c>
      <c r="H176" s="27">
        <v>0</v>
      </c>
      <c r="I176" s="27">
        <v>0</v>
      </c>
      <c r="J176" s="27">
        <v>0</v>
      </c>
      <c r="K176" s="27">
        <v>0</v>
      </c>
      <c r="L176" s="27">
        <v>0</v>
      </c>
      <c r="M176" s="27">
        <v>0</v>
      </c>
      <c r="N176" s="27">
        <v>0</v>
      </c>
      <c r="O176" s="27">
        <v>0</v>
      </c>
      <c r="P176" s="27">
        <v>0</v>
      </c>
      <c r="Q176" s="27">
        <v>0</v>
      </c>
      <c r="R176" s="27">
        <v>0</v>
      </c>
      <c r="S176" s="27">
        <v>0</v>
      </c>
      <c r="T176" s="27">
        <v>0</v>
      </c>
      <c r="U176" s="27">
        <v>0</v>
      </c>
      <c r="V176" s="27">
        <v>0</v>
      </c>
      <c r="W176" s="27">
        <v>0</v>
      </c>
      <c r="X176" s="27">
        <v>0</v>
      </c>
      <c r="Y176" s="23"/>
      <c r="Z176" s="25"/>
      <c r="AA176" s="25"/>
      <c r="AB176" s="25"/>
      <c r="AC176" s="26"/>
    </row>
    <row r="177" spans="1:29" ht="68.25" customHeight="1" x14ac:dyDescent="0.25">
      <c r="A177" s="21" t="s">
        <v>429</v>
      </c>
      <c r="B177" s="22" t="s">
        <v>430</v>
      </c>
      <c r="C177" s="23"/>
      <c r="D177" s="23" t="s">
        <v>367</v>
      </c>
      <c r="E177" s="27">
        <v>0</v>
      </c>
      <c r="F177" s="27">
        <v>0</v>
      </c>
      <c r="G177" s="27">
        <v>0</v>
      </c>
      <c r="H177" s="27">
        <v>0</v>
      </c>
      <c r="I177" s="27">
        <v>0</v>
      </c>
      <c r="J177" s="27">
        <v>0</v>
      </c>
      <c r="K177" s="27">
        <v>0</v>
      </c>
      <c r="L177" s="27">
        <v>0</v>
      </c>
      <c r="M177" s="27">
        <v>0</v>
      </c>
      <c r="N177" s="27">
        <v>0</v>
      </c>
      <c r="O177" s="27">
        <v>0</v>
      </c>
      <c r="P177" s="27">
        <v>0</v>
      </c>
      <c r="Q177" s="27">
        <v>0</v>
      </c>
      <c r="R177" s="27">
        <v>0</v>
      </c>
      <c r="S177" s="27">
        <v>0</v>
      </c>
      <c r="T177" s="27">
        <v>0</v>
      </c>
      <c r="U177" s="27">
        <v>0</v>
      </c>
      <c r="V177" s="27">
        <v>0</v>
      </c>
      <c r="W177" s="27">
        <v>0</v>
      </c>
      <c r="X177" s="27">
        <v>0</v>
      </c>
      <c r="Y177" s="23"/>
      <c r="Z177" s="25"/>
      <c r="AA177" s="25"/>
      <c r="AB177" s="25"/>
      <c r="AC177" s="26"/>
    </row>
    <row r="178" spans="1:29" ht="72" customHeight="1" x14ac:dyDescent="0.25">
      <c r="A178" s="21" t="s">
        <v>431</v>
      </c>
      <c r="B178" s="22" t="s">
        <v>432</v>
      </c>
      <c r="C178" s="23"/>
      <c r="D178" s="23" t="s">
        <v>367</v>
      </c>
      <c r="E178" s="24">
        <f t="shared" ref="E178:X178" si="64">SUM(E179:E181)</f>
        <v>0</v>
      </c>
      <c r="F178" s="24">
        <f t="shared" si="64"/>
        <v>0</v>
      </c>
      <c r="G178" s="24">
        <f t="shared" si="64"/>
        <v>0</v>
      </c>
      <c r="H178" s="24">
        <f t="shared" si="64"/>
        <v>0</v>
      </c>
      <c r="I178" s="24">
        <f t="shared" si="64"/>
        <v>0</v>
      </c>
      <c r="J178" s="24">
        <f t="shared" si="64"/>
        <v>0</v>
      </c>
      <c r="K178" s="24">
        <f t="shared" si="64"/>
        <v>0</v>
      </c>
      <c r="L178" s="24">
        <f t="shared" si="64"/>
        <v>0</v>
      </c>
      <c r="M178" s="24">
        <f t="shared" si="64"/>
        <v>0</v>
      </c>
      <c r="N178" s="24">
        <f t="shared" si="64"/>
        <v>0</v>
      </c>
      <c r="O178" s="24">
        <f t="shared" si="64"/>
        <v>0</v>
      </c>
      <c r="P178" s="24">
        <f t="shared" si="64"/>
        <v>0</v>
      </c>
      <c r="Q178" s="24">
        <f t="shared" si="64"/>
        <v>0</v>
      </c>
      <c r="R178" s="24">
        <f t="shared" si="64"/>
        <v>0</v>
      </c>
      <c r="S178" s="24">
        <f t="shared" si="64"/>
        <v>0</v>
      </c>
      <c r="T178" s="24">
        <f t="shared" si="64"/>
        <v>0</v>
      </c>
      <c r="U178" s="24">
        <f t="shared" si="64"/>
        <v>0</v>
      </c>
      <c r="V178" s="24">
        <f t="shared" si="64"/>
        <v>0</v>
      </c>
      <c r="W178" s="24">
        <f t="shared" si="64"/>
        <v>0</v>
      </c>
      <c r="X178" s="24">
        <f t="shared" si="64"/>
        <v>0</v>
      </c>
      <c r="Y178" s="23" t="s">
        <v>426</v>
      </c>
      <c r="Z178" s="25" t="s">
        <v>34</v>
      </c>
      <c r="AA178" s="25" t="s">
        <v>42</v>
      </c>
      <c r="AB178" s="25" t="s">
        <v>48</v>
      </c>
      <c r="AC178" s="26"/>
    </row>
    <row r="179" spans="1:29" ht="121.5" x14ac:dyDescent="0.25">
      <c r="A179" s="28"/>
      <c r="B179" s="29"/>
      <c r="C179" s="30"/>
      <c r="D179" s="30"/>
      <c r="E179" s="31">
        <v>0</v>
      </c>
      <c r="F179" s="31">
        <v>0</v>
      </c>
      <c r="G179" s="31">
        <v>0</v>
      </c>
      <c r="H179" s="31">
        <v>0</v>
      </c>
      <c r="I179" s="31">
        <v>0</v>
      </c>
      <c r="J179" s="31">
        <v>0</v>
      </c>
      <c r="K179" s="31">
        <v>0</v>
      </c>
      <c r="L179" s="31">
        <v>0</v>
      </c>
      <c r="M179" s="31">
        <v>0</v>
      </c>
      <c r="N179" s="31">
        <v>0</v>
      </c>
      <c r="O179" s="31">
        <v>0</v>
      </c>
      <c r="P179" s="31">
        <v>0</v>
      </c>
      <c r="Q179" s="31">
        <v>0</v>
      </c>
      <c r="R179" s="31">
        <v>0</v>
      </c>
      <c r="S179" s="31">
        <v>0</v>
      </c>
      <c r="T179" s="31">
        <v>0</v>
      </c>
      <c r="U179" s="31">
        <v>0</v>
      </c>
      <c r="V179" s="31">
        <v>0</v>
      </c>
      <c r="W179" s="31">
        <v>0</v>
      </c>
      <c r="X179" s="31">
        <v>0</v>
      </c>
      <c r="Y179" s="30" t="s">
        <v>198</v>
      </c>
      <c r="Z179" s="32" t="s">
        <v>34</v>
      </c>
      <c r="AA179" s="32" t="s">
        <v>42</v>
      </c>
      <c r="AB179" s="32" t="s">
        <v>48</v>
      </c>
      <c r="AC179" s="33" t="s">
        <v>433</v>
      </c>
    </row>
    <row r="180" spans="1:29" ht="61.5" customHeight="1" x14ac:dyDescent="0.25">
      <c r="A180" s="21" t="s">
        <v>434</v>
      </c>
      <c r="B180" s="22" t="s">
        <v>226</v>
      </c>
      <c r="C180" s="23"/>
      <c r="D180" s="23" t="s">
        <v>367</v>
      </c>
      <c r="E180" s="27">
        <v>0</v>
      </c>
      <c r="F180" s="27">
        <v>0</v>
      </c>
      <c r="G180" s="27">
        <v>0</v>
      </c>
      <c r="H180" s="27">
        <v>0</v>
      </c>
      <c r="I180" s="27">
        <v>0</v>
      </c>
      <c r="J180" s="27">
        <v>0</v>
      </c>
      <c r="K180" s="27">
        <v>0</v>
      </c>
      <c r="L180" s="27">
        <v>0</v>
      </c>
      <c r="M180" s="27">
        <v>0</v>
      </c>
      <c r="N180" s="27">
        <v>0</v>
      </c>
      <c r="O180" s="27">
        <v>0</v>
      </c>
      <c r="P180" s="27">
        <v>0</v>
      </c>
      <c r="Q180" s="27">
        <v>0</v>
      </c>
      <c r="R180" s="27">
        <v>0</v>
      </c>
      <c r="S180" s="27">
        <v>0</v>
      </c>
      <c r="T180" s="27">
        <v>0</v>
      </c>
      <c r="U180" s="27">
        <v>0</v>
      </c>
      <c r="V180" s="27">
        <v>0</v>
      </c>
      <c r="W180" s="27">
        <v>0</v>
      </c>
      <c r="X180" s="27">
        <v>0</v>
      </c>
      <c r="Y180" s="23"/>
      <c r="Z180" s="25"/>
      <c r="AA180" s="25"/>
      <c r="AB180" s="25"/>
      <c r="AC180" s="26"/>
    </row>
    <row r="181" spans="1:29" ht="118.5" customHeight="1" x14ac:dyDescent="0.25">
      <c r="A181" s="21" t="s">
        <v>435</v>
      </c>
      <c r="B181" s="22" t="s">
        <v>436</v>
      </c>
      <c r="C181" s="23"/>
      <c r="D181" s="23" t="s">
        <v>367</v>
      </c>
      <c r="E181" s="27">
        <v>0</v>
      </c>
      <c r="F181" s="27">
        <v>0</v>
      </c>
      <c r="G181" s="27">
        <v>0</v>
      </c>
      <c r="H181" s="27">
        <v>0</v>
      </c>
      <c r="I181" s="27">
        <v>0</v>
      </c>
      <c r="J181" s="27">
        <v>0</v>
      </c>
      <c r="K181" s="27">
        <v>0</v>
      </c>
      <c r="L181" s="27">
        <v>0</v>
      </c>
      <c r="M181" s="27">
        <v>0</v>
      </c>
      <c r="N181" s="27">
        <v>0</v>
      </c>
      <c r="O181" s="27">
        <v>0</v>
      </c>
      <c r="P181" s="27">
        <v>0</v>
      </c>
      <c r="Q181" s="27">
        <v>0</v>
      </c>
      <c r="R181" s="27">
        <v>0</v>
      </c>
      <c r="S181" s="27">
        <v>0</v>
      </c>
      <c r="T181" s="27">
        <v>0</v>
      </c>
      <c r="U181" s="27">
        <v>0</v>
      </c>
      <c r="V181" s="27">
        <v>0</v>
      </c>
      <c r="W181" s="27">
        <v>0</v>
      </c>
      <c r="X181" s="27">
        <v>0</v>
      </c>
      <c r="Y181" s="23"/>
      <c r="Z181" s="25"/>
      <c r="AA181" s="25"/>
      <c r="AB181" s="25"/>
      <c r="AC181" s="26"/>
    </row>
    <row r="182" spans="1:29" ht="72" customHeight="1" x14ac:dyDescent="0.25">
      <c r="A182" s="21" t="s">
        <v>437</v>
      </c>
      <c r="B182" s="22" t="s">
        <v>438</v>
      </c>
      <c r="C182" s="23"/>
      <c r="D182" s="23" t="s">
        <v>197</v>
      </c>
      <c r="E182" s="24">
        <f>SUM(E183:E185)+107441.46</f>
        <v>107441.46</v>
      </c>
      <c r="F182" s="24">
        <f>SUM(F183:F185)</f>
        <v>0</v>
      </c>
      <c r="G182" s="24">
        <f>SUM(G183:G185)</f>
        <v>0</v>
      </c>
      <c r="H182" s="24">
        <f>SUM(H183:H185)</f>
        <v>0</v>
      </c>
      <c r="I182" s="24">
        <f>SUM(I183:I185)</f>
        <v>0</v>
      </c>
      <c r="J182" s="24">
        <f>SUM(J183:J185)+61870</f>
        <v>61870</v>
      </c>
      <c r="K182" s="24">
        <f>SUM(K183:K185)+45571.46</f>
        <v>45571.46</v>
      </c>
      <c r="L182" s="24">
        <f>SUM(L183:L185)</f>
        <v>0</v>
      </c>
      <c r="M182" s="24">
        <f>SUM(M183:M185)</f>
        <v>0</v>
      </c>
      <c r="N182" s="24">
        <f>SUM(N183:N185)</f>
        <v>0</v>
      </c>
      <c r="O182" s="24">
        <f>SUM(O183:O185)+107441.25</f>
        <v>107441.25</v>
      </c>
      <c r="P182" s="24">
        <f>SUM(P183:P185)+3000</f>
        <v>3000</v>
      </c>
      <c r="Q182" s="24">
        <f>SUM(Q183:Q185)</f>
        <v>0</v>
      </c>
      <c r="R182" s="24">
        <f>SUM(R183:R185)</f>
        <v>0</v>
      </c>
      <c r="S182" s="24">
        <f>SUM(S183:S185)</f>
        <v>0</v>
      </c>
      <c r="T182" s="24">
        <f>SUM(T183:T185)+58869.79</f>
        <v>58869.79</v>
      </c>
      <c r="U182" s="24">
        <f>SUM(U183:U185)+38855.74</f>
        <v>38855.74</v>
      </c>
      <c r="V182" s="24">
        <f>SUM(V183:V185)+6715.72</f>
        <v>6715.72</v>
      </c>
      <c r="W182" s="24">
        <f>SUM(W183:W185)</f>
        <v>0</v>
      </c>
      <c r="X182" s="24">
        <f>SUM(X183:X185)</f>
        <v>0</v>
      </c>
      <c r="Y182" s="23" t="s">
        <v>198</v>
      </c>
      <c r="Z182" s="25" t="s">
        <v>34</v>
      </c>
      <c r="AA182" s="25" t="s">
        <v>42</v>
      </c>
      <c r="AB182" s="25" t="s">
        <v>42</v>
      </c>
      <c r="AC182" s="26"/>
    </row>
    <row r="183" spans="1:29" ht="24" customHeight="1" x14ac:dyDescent="0.25">
      <c r="A183" s="28"/>
      <c r="B183" s="29"/>
      <c r="C183" s="30"/>
      <c r="D183" s="30"/>
      <c r="E183" s="31">
        <v>0</v>
      </c>
      <c r="F183" s="31">
        <v>0</v>
      </c>
      <c r="G183" s="31">
        <v>0</v>
      </c>
      <c r="H183" s="31">
        <v>0</v>
      </c>
      <c r="I183" s="31">
        <v>0</v>
      </c>
      <c r="J183" s="31">
        <v>0</v>
      </c>
      <c r="K183" s="31">
        <v>0</v>
      </c>
      <c r="L183" s="31">
        <v>0</v>
      </c>
      <c r="M183" s="31">
        <v>0</v>
      </c>
      <c r="N183" s="31">
        <v>0</v>
      </c>
      <c r="O183" s="31">
        <v>0</v>
      </c>
      <c r="P183" s="31">
        <v>0</v>
      </c>
      <c r="Q183" s="31">
        <v>0</v>
      </c>
      <c r="R183" s="31">
        <v>0</v>
      </c>
      <c r="S183" s="31">
        <v>0</v>
      </c>
      <c r="T183" s="31">
        <v>0</v>
      </c>
      <c r="U183" s="31">
        <v>0</v>
      </c>
      <c r="V183" s="31">
        <v>0</v>
      </c>
      <c r="W183" s="31">
        <v>0</v>
      </c>
      <c r="X183" s="31">
        <v>0</v>
      </c>
      <c r="Y183" s="30" t="s">
        <v>382</v>
      </c>
      <c r="Z183" s="32" t="s">
        <v>34</v>
      </c>
      <c r="AA183" s="32" t="s">
        <v>42</v>
      </c>
      <c r="AB183" s="32" t="s">
        <v>42</v>
      </c>
      <c r="AC183" s="33"/>
    </row>
    <row r="184" spans="1:29" ht="116.25" customHeight="1" x14ac:dyDescent="0.25">
      <c r="A184" s="21" t="s">
        <v>439</v>
      </c>
      <c r="B184" s="22" t="s">
        <v>440</v>
      </c>
      <c r="C184" s="23"/>
      <c r="D184" s="23" t="s">
        <v>197</v>
      </c>
      <c r="E184" s="27">
        <v>0</v>
      </c>
      <c r="F184" s="27">
        <v>0</v>
      </c>
      <c r="G184" s="27">
        <v>0</v>
      </c>
      <c r="H184" s="27">
        <v>0</v>
      </c>
      <c r="I184" s="27">
        <v>0</v>
      </c>
      <c r="J184" s="27">
        <v>0</v>
      </c>
      <c r="K184" s="27">
        <v>0</v>
      </c>
      <c r="L184" s="27">
        <v>0</v>
      </c>
      <c r="M184" s="27">
        <v>0</v>
      </c>
      <c r="N184" s="27">
        <v>0</v>
      </c>
      <c r="O184" s="27">
        <v>0</v>
      </c>
      <c r="P184" s="27">
        <v>0</v>
      </c>
      <c r="Q184" s="27">
        <v>0</v>
      </c>
      <c r="R184" s="27">
        <v>0</v>
      </c>
      <c r="S184" s="27">
        <v>0</v>
      </c>
      <c r="T184" s="27">
        <v>0</v>
      </c>
      <c r="U184" s="27">
        <v>0</v>
      </c>
      <c r="V184" s="27">
        <v>0</v>
      </c>
      <c r="W184" s="27">
        <v>0</v>
      </c>
      <c r="X184" s="27">
        <v>0</v>
      </c>
      <c r="Y184" s="23"/>
      <c r="Z184" s="25"/>
      <c r="AA184" s="25"/>
      <c r="AB184" s="25"/>
      <c r="AC184" s="26"/>
    </row>
    <row r="185" spans="1:29" ht="33.75" customHeight="1" x14ac:dyDescent="0.25">
      <c r="A185" s="21" t="s">
        <v>441</v>
      </c>
      <c r="B185" s="22" t="s">
        <v>402</v>
      </c>
      <c r="C185" s="23"/>
      <c r="D185" s="23" t="s">
        <v>197</v>
      </c>
      <c r="E185" s="27">
        <v>0</v>
      </c>
      <c r="F185" s="27">
        <v>0</v>
      </c>
      <c r="G185" s="27">
        <v>0</v>
      </c>
      <c r="H185" s="27">
        <v>0</v>
      </c>
      <c r="I185" s="27">
        <v>0</v>
      </c>
      <c r="J185" s="27">
        <v>0</v>
      </c>
      <c r="K185" s="27">
        <v>0</v>
      </c>
      <c r="L185" s="27">
        <v>0</v>
      </c>
      <c r="M185" s="27">
        <v>0</v>
      </c>
      <c r="N185" s="27">
        <v>0</v>
      </c>
      <c r="O185" s="27">
        <v>0</v>
      </c>
      <c r="P185" s="27">
        <v>0</v>
      </c>
      <c r="Q185" s="27">
        <v>0</v>
      </c>
      <c r="R185" s="27">
        <v>0</v>
      </c>
      <c r="S185" s="27">
        <v>0</v>
      </c>
      <c r="T185" s="27">
        <v>0</v>
      </c>
      <c r="U185" s="27">
        <v>0</v>
      </c>
      <c r="V185" s="27">
        <v>0</v>
      </c>
      <c r="W185" s="27">
        <v>0</v>
      </c>
      <c r="X185" s="27">
        <v>0</v>
      </c>
      <c r="Y185" s="23"/>
      <c r="Z185" s="25"/>
      <c r="AA185" s="25"/>
      <c r="AB185" s="25"/>
      <c r="AC185" s="26"/>
    </row>
    <row r="186" spans="1:29" ht="37.5" customHeight="1" x14ac:dyDescent="0.25">
      <c r="A186" s="9" t="s">
        <v>442</v>
      </c>
      <c r="B186" s="10" t="s">
        <v>443</v>
      </c>
      <c r="C186" s="11"/>
      <c r="D186" s="11"/>
      <c r="E186" s="12">
        <f t="shared" ref="E186:N187" si="65">SUM(E187:E187)</f>
        <v>163679</v>
      </c>
      <c r="F186" s="12">
        <f t="shared" si="65"/>
        <v>5364</v>
      </c>
      <c r="G186" s="12">
        <f t="shared" si="65"/>
        <v>0</v>
      </c>
      <c r="H186" s="12">
        <f t="shared" si="65"/>
        <v>0</v>
      </c>
      <c r="I186" s="12">
        <f t="shared" si="65"/>
        <v>0</v>
      </c>
      <c r="J186" s="12">
        <f t="shared" si="65"/>
        <v>70838</v>
      </c>
      <c r="K186" s="12">
        <f t="shared" si="65"/>
        <v>80370</v>
      </c>
      <c r="L186" s="12">
        <f t="shared" si="65"/>
        <v>7107</v>
      </c>
      <c r="M186" s="12">
        <f t="shared" si="65"/>
        <v>0</v>
      </c>
      <c r="N186" s="12">
        <f t="shared" si="65"/>
        <v>0</v>
      </c>
      <c r="O186" s="12">
        <f t="shared" ref="O186:X187" si="66">SUM(O187:O187)</f>
        <v>164743.06</v>
      </c>
      <c r="P186" s="12">
        <f t="shared" si="66"/>
        <v>10265.67</v>
      </c>
      <c r="Q186" s="12">
        <f t="shared" si="66"/>
        <v>0</v>
      </c>
      <c r="R186" s="12">
        <f t="shared" si="66"/>
        <v>0</v>
      </c>
      <c r="S186" s="12">
        <f t="shared" si="66"/>
        <v>0</v>
      </c>
      <c r="T186" s="12">
        <f t="shared" si="66"/>
        <v>54605.97</v>
      </c>
      <c r="U186" s="12">
        <f t="shared" si="66"/>
        <v>91712.1</v>
      </c>
      <c r="V186" s="12">
        <f t="shared" si="66"/>
        <v>8159.32</v>
      </c>
      <c r="W186" s="12">
        <f t="shared" si="66"/>
        <v>0</v>
      </c>
      <c r="X186" s="12">
        <f t="shared" si="66"/>
        <v>0</v>
      </c>
      <c r="Y186" s="11"/>
      <c r="Z186" s="13"/>
      <c r="AA186" s="13"/>
      <c r="AB186" s="13"/>
      <c r="AC186" s="14"/>
    </row>
    <row r="187" spans="1:29" ht="96" customHeight="1" x14ac:dyDescent="0.25">
      <c r="A187" s="15" t="s">
        <v>444</v>
      </c>
      <c r="B187" s="16" t="s">
        <v>445</v>
      </c>
      <c r="C187" s="17"/>
      <c r="D187" s="17"/>
      <c r="E187" s="18">
        <f t="shared" si="65"/>
        <v>163679</v>
      </c>
      <c r="F187" s="18">
        <f t="shared" si="65"/>
        <v>5364</v>
      </c>
      <c r="G187" s="18">
        <f t="shared" si="65"/>
        <v>0</v>
      </c>
      <c r="H187" s="18">
        <f t="shared" si="65"/>
        <v>0</v>
      </c>
      <c r="I187" s="18">
        <f t="shared" si="65"/>
        <v>0</v>
      </c>
      <c r="J187" s="18">
        <f t="shared" si="65"/>
        <v>70838</v>
      </c>
      <c r="K187" s="18">
        <f t="shared" si="65"/>
        <v>80370</v>
      </c>
      <c r="L187" s="18">
        <f t="shared" si="65"/>
        <v>7107</v>
      </c>
      <c r="M187" s="18">
        <f t="shared" si="65"/>
        <v>0</v>
      </c>
      <c r="N187" s="18">
        <f t="shared" si="65"/>
        <v>0</v>
      </c>
      <c r="O187" s="18">
        <f t="shared" si="66"/>
        <v>164743.06</v>
      </c>
      <c r="P187" s="18">
        <f t="shared" si="66"/>
        <v>10265.67</v>
      </c>
      <c r="Q187" s="18">
        <f t="shared" si="66"/>
        <v>0</v>
      </c>
      <c r="R187" s="18">
        <f t="shared" si="66"/>
        <v>0</v>
      </c>
      <c r="S187" s="18">
        <f t="shared" si="66"/>
        <v>0</v>
      </c>
      <c r="T187" s="18">
        <f t="shared" si="66"/>
        <v>54605.97</v>
      </c>
      <c r="U187" s="18">
        <f t="shared" si="66"/>
        <v>91712.1</v>
      </c>
      <c r="V187" s="18">
        <f t="shared" si="66"/>
        <v>8159.32</v>
      </c>
      <c r="W187" s="18">
        <f t="shared" si="66"/>
        <v>0</v>
      </c>
      <c r="X187" s="18">
        <f t="shared" si="66"/>
        <v>0</v>
      </c>
      <c r="Y187" s="17"/>
      <c r="Z187" s="19"/>
      <c r="AA187" s="19"/>
      <c r="AB187" s="19"/>
      <c r="AC187" s="20"/>
    </row>
    <row r="188" spans="1:29" ht="72" customHeight="1" x14ac:dyDescent="0.25">
      <c r="A188" s="21" t="s">
        <v>446</v>
      </c>
      <c r="B188" s="22" t="s">
        <v>447</v>
      </c>
      <c r="C188" s="23" t="s">
        <v>177</v>
      </c>
      <c r="D188" s="23" t="s">
        <v>448</v>
      </c>
      <c r="E188" s="24">
        <f>SUM(E189:E191)+163679</f>
        <v>163679</v>
      </c>
      <c r="F188" s="24">
        <f>SUM(F189:F191)+5364</f>
        <v>5364</v>
      </c>
      <c r="G188" s="24">
        <f>SUM(G189:G191)</f>
        <v>0</v>
      </c>
      <c r="H188" s="24">
        <f>SUM(H189:H191)</f>
        <v>0</v>
      </c>
      <c r="I188" s="24">
        <f>SUM(I189:I191)</f>
        <v>0</v>
      </c>
      <c r="J188" s="24">
        <f>SUM(J189:J191)+70838</f>
        <v>70838</v>
      </c>
      <c r="K188" s="24">
        <f>SUM(K189:K191)+80370</f>
        <v>80370</v>
      </c>
      <c r="L188" s="24">
        <f>SUM(L189:L191)+7107</f>
        <v>7107</v>
      </c>
      <c r="M188" s="24">
        <f>SUM(M189:M191)</f>
        <v>0</v>
      </c>
      <c r="N188" s="24">
        <f>SUM(N189:N191)</f>
        <v>0</v>
      </c>
      <c r="O188" s="24">
        <f>SUM(O189:O191)+164743.06</f>
        <v>164743.06</v>
      </c>
      <c r="P188" s="24">
        <f>SUM(P189:P191)+10265.67</f>
        <v>10265.67</v>
      </c>
      <c r="Q188" s="24">
        <f>SUM(Q189:Q191)</f>
        <v>0</v>
      </c>
      <c r="R188" s="24">
        <f>SUM(R189:R191)</f>
        <v>0</v>
      </c>
      <c r="S188" s="24">
        <f>SUM(S189:S191)</f>
        <v>0</v>
      </c>
      <c r="T188" s="24">
        <f>SUM(T189:T191)+54605.97</f>
        <v>54605.97</v>
      </c>
      <c r="U188" s="24">
        <f>SUM(U189:U191)+91712.1</f>
        <v>91712.1</v>
      </c>
      <c r="V188" s="24">
        <f>SUM(V189:V191)+8159.32</f>
        <v>8159.32</v>
      </c>
      <c r="W188" s="24">
        <f>SUM(W189:W191)</f>
        <v>0</v>
      </c>
      <c r="X188" s="24">
        <f>SUM(X189:X191)</f>
        <v>0</v>
      </c>
      <c r="Y188" s="23" t="s">
        <v>449</v>
      </c>
      <c r="Z188" s="25" t="s">
        <v>450</v>
      </c>
      <c r="AA188" s="25" t="s">
        <v>109</v>
      </c>
      <c r="AB188" s="25" t="s">
        <v>159</v>
      </c>
      <c r="AC188" s="26" t="s">
        <v>451</v>
      </c>
    </row>
    <row r="189" spans="1:29" ht="60.75" x14ac:dyDescent="0.25">
      <c r="A189" s="28"/>
      <c r="B189" s="29"/>
      <c r="C189" s="30"/>
      <c r="D189" s="30"/>
      <c r="E189" s="31">
        <v>0</v>
      </c>
      <c r="F189" s="31">
        <v>0</v>
      </c>
      <c r="G189" s="31">
        <v>0</v>
      </c>
      <c r="H189" s="31">
        <v>0</v>
      </c>
      <c r="I189" s="31">
        <v>0</v>
      </c>
      <c r="J189" s="31">
        <v>0</v>
      </c>
      <c r="K189" s="31">
        <v>0</v>
      </c>
      <c r="L189" s="31">
        <v>0</v>
      </c>
      <c r="M189" s="31">
        <v>0</v>
      </c>
      <c r="N189" s="31">
        <v>0</v>
      </c>
      <c r="O189" s="31">
        <v>0</v>
      </c>
      <c r="P189" s="31">
        <v>0</v>
      </c>
      <c r="Q189" s="31">
        <v>0</v>
      </c>
      <c r="R189" s="31">
        <v>0</v>
      </c>
      <c r="S189" s="31">
        <v>0</v>
      </c>
      <c r="T189" s="31">
        <v>0</v>
      </c>
      <c r="U189" s="31">
        <v>0</v>
      </c>
      <c r="V189" s="31">
        <v>0</v>
      </c>
      <c r="W189" s="31">
        <v>0</v>
      </c>
      <c r="X189" s="31">
        <v>0</v>
      </c>
      <c r="Y189" s="30" t="s">
        <v>452</v>
      </c>
      <c r="Z189" s="32" t="s">
        <v>34</v>
      </c>
      <c r="AA189" s="32" t="s">
        <v>159</v>
      </c>
      <c r="AB189" s="32" t="s">
        <v>159</v>
      </c>
      <c r="AC189" s="33"/>
    </row>
    <row r="190" spans="1:29" ht="62.25" customHeight="1" x14ac:dyDescent="0.25">
      <c r="A190" s="21" t="s">
        <v>453</v>
      </c>
      <c r="B190" s="22" t="s">
        <v>454</v>
      </c>
      <c r="C190" s="23"/>
      <c r="D190" s="23" t="s">
        <v>448</v>
      </c>
      <c r="E190" s="27">
        <v>0</v>
      </c>
      <c r="F190" s="27">
        <v>0</v>
      </c>
      <c r="G190" s="27">
        <v>0</v>
      </c>
      <c r="H190" s="27">
        <v>0</v>
      </c>
      <c r="I190" s="27">
        <v>0</v>
      </c>
      <c r="J190" s="27">
        <v>0</v>
      </c>
      <c r="K190" s="27">
        <v>0</v>
      </c>
      <c r="L190" s="27">
        <v>0</v>
      </c>
      <c r="M190" s="27">
        <v>0</v>
      </c>
      <c r="N190" s="27">
        <v>0</v>
      </c>
      <c r="O190" s="27">
        <v>0</v>
      </c>
      <c r="P190" s="27">
        <v>0</v>
      </c>
      <c r="Q190" s="27">
        <v>0</v>
      </c>
      <c r="R190" s="27">
        <v>0</v>
      </c>
      <c r="S190" s="27">
        <v>0</v>
      </c>
      <c r="T190" s="27">
        <v>0</v>
      </c>
      <c r="U190" s="27">
        <v>0</v>
      </c>
      <c r="V190" s="27">
        <v>0</v>
      </c>
      <c r="W190" s="27">
        <v>0</v>
      </c>
      <c r="X190" s="27">
        <v>0</v>
      </c>
      <c r="Y190" s="23"/>
      <c r="Z190" s="25"/>
      <c r="AA190" s="25"/>
      <c r="AB190" s="25"/>
      <c r="AC190" s="26"/>
    </row>
    <row r="191" spans="1:29" ht="96" customHeight="1" x14ac:dyDescent="0.25">
      <c r="A191" s="21" t="s">
        <v>455</v>
      </c>
      <c r="B191" s="22" t="s">
        <v>456</v>
      </c>
      <c r="C191" s="23"/>
      <c r="D191" s="23" t="s">
        <v>448</v>
      </c>
      <c r="E191" s="27">
        <v>0</v>
      </c>
      <c r="F191" s="27">
        <v>0</v>
      </c>
      <c r="G191" s="27">
        <v>0</v>
      </c>
      <c r="H191" s="27">
        <v>0</v>
      </c>
      <c r="I191" s="27">
        <v>0</v>
      </c>
      <c r="J191" s="27">
        <v>0</v>
      </c>
      <c r="K191" s="27">
        <v>0</v>
      </c>
      <c r="L191" s="27">
        <v>0</v>
      </c>
      <c r="M191" s="27">
        <v>0</v>
      </c>
      <c r="N191" s="27">
        <v>0</v>
      </c>
      <c r="O191" s="27">
        <v>0</v>
      </c>
      <c r="P191" s="27">
        <v>0</v>
      </c>
      <c r="Q191" s="27">
        <v>0</v>
      </c>
      <c r="R191" s="27">
        <v>0</v>
      </c>
      <c r="S191" s="27">
        <v>0</v>
      </c>
      <c r="T191" s="27">
        <v>0</v>
      </c>
      <c r="U191" s="27">
        <v>0</v>
      </c>
      <c r="V191" s="27">
        <v>0</v>
      </c>
      <c r="W191" s="27">
        <v>0</v>
      </c>
      <c r="X191" s="27">
        <v>0</v>
      </c>
      <c r="Y191" s="23"/>
      <c r="Z191" s="25"/>
      <c r="AA191" s="25"/>
      <c r="AB191" s="25"/>
      <c r="AC191" s="26"/>
    </row>
    <row r="192" spans="1:29" ht="57.75" customHeight="1" x14ac:dyDescent="0.25">
      <c r="A192" s="9" t="s">
        <v>457</v>
      </c>
      <c r="B192" s="10" t="s">
        <v>458</v>
      </c>
      <c r="C192" s="11"/>
      <c r="D192" s="11"/>
      <c r="E192" s="12">
        <f t="shared" ref="E192:X192" si="67">SUM(E193:E193)</f>
        <v>721447</v>
      </c>
      <c r="F192" s="12">
        <f t="shared" si="67"/>
        <v>84654</v>
      </c>
      <c r="G192" s="12">
        <f t="shared" si="67"/>
        <v>0</v>
      </c>
      <c r="H192" s="12">
        <f t="shared" si="67"/>
        <v>0</v>
      </c>
      <c r="I192" s="12">
        <f t="shared" si="67"/>
        <v>0</v>
      </c>
      <c r="J192" s="12">
        <f t="shared" si="67"/>
        <v>103995</v>
      </c>
      <c r="K192" s="12">
        <f t="shared" si="67"/>
        <v>306406</v>
      </c>
      <c r="L192" s="12">
        <f t="shared" si="67"/>
        <v>226392</v>
      </c>
      <c r="M192" s="12">
        <f t="shared" si="67"/>
        <v>0</v>
      </c>
      <c r="N192" s="12">
        <f t="shared" si="67"/>
        <v>0</v>
      </c>
      <c r="O192" s="12">
        <f t="shared" si="67"/>
        <v>669908.24000000011</v>
      </c>
      <c r="P192" s="12">
        <f t="shared" si="67"/>
        <v>63536.85</v>
      </c>
      <c r="Q192" s="12">
        <f t="shared" si="67"/>
        <v>0</v>
      </c>
      <c r="R192" s="12">
        <f t="shared" si="67"/>
        <v>0</v>
      </c>
      <c r="S192" s="12">
        <f t="shared" si="67"/>
        <v>0</v>
      </c>
      <c r="T192" s="12">
        <f t="shared" si="67"/>
        <v>79296.259999999995</v>
      </c>
      <c r="U192" s="12">
        <f t="shared" si="67"/>
        <v>300686.49</v>
      </c>
      <c r="V192" s="12">
        <f t="shared" si="67"/>
        <v>226388.64</v>
      </c>
      <c r="W192" s="12">
        <f t="shared" si="67"/>
        <v>0</v>
      </c>
      <c r="X192" s="12">
        <f t="shared" si="67"/>
        <v>0</v>
      </c>
      <c r="Y192" s="11"/>
      <c r="Z192" s="13"/>
      <c r="AA192" s="13"/>
      <c r="AB192" s="13"/>
      <c r="AC192" s="14"/>
    </row>
    <row r="193" spans="1:29" ht="87" customHeight="1" x14ac:dyDescent="0.25">
      <c r="A193" s="15" t="s">
        <v>459</v>
      </c>
      <c r="B193" s="16" t="s">
        <v>460</v>
      </c>
      <c r="C193" s="17"/>
      <c r="D193" s="17"/>
      <c r="E193" s="18">
        <f t="shared" ref="E193:X193" si="68">E194+E198+E200</f>
        <v>721447</v>
      </c>
      <c r="F193" s="18">
        <f t="shared" si="68"/>
        <v>84654</v>
      </c>
      <c r="G193" s="18">
        <f t="shared" si="68"/>
        <v>0</v>
      </c>
      <c r="H193" s="18">
        <f t="shared" si="68"/>
        <v>0</v>
      </c>
      <c r="I193" s="18">
        <f t="shared" si="68"/>
        <v>0</v>
      </c>
      <c r="J193" s="18">
        <f t="shared" si="68"/>
        <v>103995</v>
      </c>
      <c r="K193" s="18">
        <f t="shared" si="68"/>
        <v>306406</v>
      </c>
      <c r="L193" s="18">
        <f t="shared" si="68"/>
        <v>226392</v>
      </c>
      <c r="M193" s="18">
        <f t="shared" si="68"/>
        <v>0</v>
      </c>
      <c r="N193" s="18">
        <f t="shared" si="68"/>
        <v>0</v>
      </c>
      <c r="O193" s="18">
        <f t="shared" si="68"/>
        <v>669908.24000000011</v>
      </c>
      <c r="P193" s="18">
        <f t="shared" si="68"/>
        <v>63536.85</v>
      </c>
      <c r="Q193" s="18">
        <f t="shared" si="68"/>
        <v>0</v>
      </c>
      <c r="R193" s="18">
        <f t="shared" si="68"/>
        <v>0</v>
      </c>
      <c r="S193" s="18">
        <f t="shared" si="68"/>
        <v>0</v>
      </c>
      <c r="T193" s="18">
        <f t="shared" si="68"/>
        <v>79296.259999999995</v>
      </c>
      <c r="U193" s="18">
        <f t="shared" si="68"/>
        <v>300686.49</v>
      </c>
      <c r="V193" s="18">
        <f t="shared" si="68"/>
        <v>226388.64</v>
      </c>
      <c r="W193" s="18">
        <f t="shared" si="68"/>
        <v>0</v>
      </c>
      <c r="X193" s="18">
        <f t="shared" si="68"/>
        <v>0</v>
      </c>
      <c r="Y193" s="17"/>
      <c r="Z193" s="19"/>
      <c r="AA193" s="19"/>
      <c r="AB193" s="19"/>
      <c r="AC193" s="20"/>
    </row>
    <row r="194" spans="1:29" ht="60.75" x14ac:dyDescent="0.25">
      <c r="A194" s="21" t="s">
        <v>461</v>
      </c>
      <c r="B194" s="22" t="s">
        <v>462</v>
      </c>
      <c r="C194" s="23"/>
      <c r="D194" s="23" t="s">
        <v>448</v>
      </c>
      <c r="E194" s="24">
        <f>SUM(E195:E197)+413055</f>
        <v>413055</v>
      </c>
      <c r="F194" s="24">
        <f>SUM(F195:F197)+20654</f>
        <v>20654</v>
      </c>
      <c r="G194" s="24">
        <f>SUM(G195:G197)</f>
        <v>0</v>
      </c>
      <c r="H194" s="24">
        <f>SUM(H195:H197)</f>
        <v>0</v>
      </c>
      <c r="I194" s="24">
        <f>SUM(I195:I197)</f>
        <v>0</v>
      </c>
      <c r="J194" s="24">
        <f>SUM(J195:J197)+85995</f>
        <v>85995</v>
      </c>
      <c r="K194" s="24">
        <f>SUM(K195:K197)+306406</f>
        <v>306406</v>
      </c>
      <c r="L194" s="24">
        <f>SUM(L195:L197)</f>
        <v>0</v>
      </c>
      <c r="M194" s="24">
        <f>SUM(M195:M197)</f>
        <v>0</v>
      </c>
      <c r="N194" s="24">
        <f>SUM(N195:N197)</f>
        <v>0</v>
      </c>
      <c r="O194" s="24">
        <f>SUM(O195:O197)+378016.09</f>
        <v>378016.09</v>
      </c>
      <c r="P194" s="24">
        <f>SUM(P195:P197)+15539.29</f>
        <v>15539.29</v>
      </c>
      <c r="Q194" s="24">
        <f>SUM(Q195:Q197)</f>
        <v>0</v>
      </c>
      <c r="R194" s="24">
        <f>SUM(R195:R197)</f>
        <v>0</v>
      </c>
      <c r="S194" s="24">
        <f>SUM(S195:S197)</f>
        <v>0</v>
      </c>
      <c r="T194" s="24">
        <f>SUM(T195:T197)+61790.31</f>
        <v>61790.31</v>
      </c>
      <c r="U194" s="24">
        <f>SUM(U195:U197)+300686.49</f>
        <v>300686.49</v>
      </c>
      <c r="V194" s="24">
        <f>SUM(V195:V197)</f>
        <v>0</v>
      </c>
      <c r="W194" s="24">
        <f>SUM(W195:W197)</f>
        <v>0</v>
      </c>
      <c r="X194" s="24">
        <f>SUM(X195:X197)</f>
        <v>0</v>
      </c>
      <c r="Y194" s="23" t="s">
        <v>463</v>
      </c>
      <c r="Z194" s="25" t="s">
        <v>34</v>
      </c>
      <c r="AA194" s="25" t="s">
        <v>109</v>
      </c>
      <c r="AB194" s="25" t="s">
        <v>109</v>
      </c>
      <c r="AC194" s="26"/>
    </row>
    <row r="195" spans="1:29" ht="46.5" customHeight="1" x14ac:dyDescent="0.25">
      <c r="A195" s="28"/>
      <c r="B195" s="29"/>
      <c r="C195" s="30"/>
      <c r="D195" s="30"/>
      <c r="E195" s="31">
        <v>0</v>
      </c>
      <c r="F195" s="31">
        <v>0</v>
      </c>
      <c r="G195" s="31">
        <v>0</v>
      </c>
      <c r="H195" s="31">
        <v>0</v>
      </c>
      <c r="I195" s="31">
        <v>0</v>
      </c>
      <c r="J195" s="31">
        <v>0</v>
      </c>
      <c r="K195" s="31">
        <v>0</v>
      </c>
      <c r="L195" s="31">
        <v>0</v>
      </c>
      <c r="M195" s="31">
        <v>0</v>
      </c>
      <c r="N195" s="31">
        <v>0</v>
      </c>
      <c r="O195" s="31">
        <v>0</v>
      </c>
      <c r="P195" s="31">
        <v>0</v>
      </c>
      <c r="Q195" s="31">
        <v>0</v>
      </c>
      <c r="R195" s="31">
        <v>0</v>
      </c>
      <c r="S195" s="31">
        <v>0</v>
      </c>
      <c r="T195" s="31">
        <v>0</v>
      </c>
      <c r="U195" s="31">
        <v>0</v>
      </c>
      <c r="V195" s="31">
        <v>0</v>
      </c>
      <c r="W195" s="31">
        <v>0</v>
      </c>
      <c r="X195" s="31">
        <v>0</v>
      </c>
      <c r="Y195" s="30" t="s">
        <v>449</v>
      </c>
      <c r="Z195" s="32" t="s">
        <v>450</v>
      </c>
      <c r="AA195" s="32" t="s">
        <v>109</v>
      </c>
      <c r="AB195" s="32" t="s">
        <v>159</v>
      </c>
      <c r="AC195" s="33" t="s">
        <v>451</v>
      </c>
    </row>
    <row r="196" spans="1:29" ht="196.5" customHeight="1" x14ac:dyDescent="0.25">
      <c r="A196" s="21" t="s">
        <v>464</v>
      </c>
      <c r="B196" s="22" t="s">
        <v>465</v>
      </c>
      <c r="C196" s="23"/>
      <c r="D196" s="23" t="s">
        <v>448</v>
      </c>
      <c r="E196" s="27">
        <v>0</v>
      </c>
      <c r="F196" s="27">
        <v>0</v>
      </c>
      <c r="G196" s="27">
        <v>0</v>
      </c>
      <c r="H196" s="27">
        <v>0</v>
      </c>
      <c r="I196" s="27">
        <v>0</v>
      </c>
      <c r="J196" s="27">
        <v>0</v>
      </c>
      <c r="K196" s="27">
        <v>0</v>
      </c>
      <c r="L196" s="27">
        <v>0</v>
      </c>
      <c r="M196" s="27">
        <v>0</v>
      </c>
      <c r="N196" s="27">
        <v>0</v>
      </c>
      <c r="O196" s="27">
        <v>0</v>
      </c>
      <c r="P196" s="27">
        <v>0</v>
      </c>
      <c r="Q196" s="27">
        <v>0</v>
      </c>
      <c r="R196" s="27">
        <v>0</v>
      </c>
      <c r="S196" s="27">
        <v>0</v>
      </c>
      <c r="T196" s="27">
        <v>0</v>
      </c>
      <c r="U196" s="27">
        <v>0</v>
      </c>
      <c r="V196" s="27">
        <v>0</v>
      </c>
      <c r="W196" s="27">
        <v>0</v>
      </c>
      <c r="X196" s="27">
        <v>0</v>
      </c>
      <c r="Y196" s="23"/>
      <c r="Z196" s="25"/>
      <c r="AA196" s="25"/>
      <c r="AB196" s="25"/>
      <c r="AC196" s="26"/>
    </row>
    <row r="197" spans="1:29" ht="79.5" customHeight="1" x14ac:dyDescent="0.25">
      <c r="A197" s="21" t="s">
        <v>466</v>
      </c>
      <c r="B197" s="22" t="s">
        <v>467</v>
      </c>
      <c r="C197" s="23"/>
      <c r="D197" s="23" t="s">
        <v>448</v>
      </c>
      <c r="E197" s="27">
        <v>0</v>
      </c>
      <c r="F197" s="27">
        <v>0</v>
      </c>
      <c r="G197" s="27">
        <v>0</v>
      </c>
      <c r="H197" s="27">
        <v>0</v>
      </c>
      <c r="I197" s="27">
        <v>0</v>
      </c>
      <c r="J197" s="27">
        <v>0</v>
      </c>
      <c r="K197" s="27">
        <v>0</v>
      </c>
      <c r="L197" s="27">
        <v>0</v>
      </c>
      <c r="M197" s="27">
        <v>0</v>
      </c>
      <c r="N197" s="27">
        <v>0</v>
      </c>
      <c r="O197" s="27">
        <v>0</v>
      </c>
      <c r="P197" s="27">
        <v>0</v>
      </c>
      <c r="Q197" s="27">
        <v>0</v>
      </c>
      <c r="R197" s="27">
        <v>0</v>
      </c>
      <c r="S197" s="27">
        <v>0</v>
      </c>
      <c r="T197" s="27">
        <v>0</v>
      </c>
      <c r="U197" s="27">
        <v>0</v>
      </c>
      <c r="V197" s="27">
        <v>0</v>
      </c>
      <c r="W197" s="27">
        <v>0</v>
      </c>
      <c r="X197" s="27">
        <v>0</v>
      </c>
      <c r="Y197" s="23"/>
      <c r="Z197" s="25"/>
      <c r="AA197" s="25"/>
      <c r="AB197" s="25"/>
      <c r="AC197" s="26"/>
    </row>
    <row r="198" spans="1:29" ht="63" customHeight="1" x14ac:dyDescent="0.25">
      <c r="A198" s="21" t="s">
        <v>468</v>
      </c>
      <c r="B198" s="22" t="s">
        <v>469</v>
      </c>
      <c r="C198" s="23"/>
      <c r="D198" s="23" t="s">
        <v>214</v>
      </c>
      <c r="E198" s="24">
        <f>SUM(E199:E199)+268398</f>
        <v>268398</v>
      </c>
      <c r="F198" s="24">
        <f>SUM(F199:F199)+40000</f>
        <v>40000</v>
      </c>
      <c r="G198" s="24">
        <f>SUM(G199:G199)</f>
        <v>0</v>
      </c>
      <c r="H198" s="24">
        <f>SUM(H199:H199)</f>
        <v>0</v>
      </c>
      <c r="I198" s="24">
        <f>SUM(I199:I199)</f>
        <v>0</v>
      </c>
      <c r="J198" s="24">
        <f>SUM(J199:J199)+18000</f>
        <v>18000</v>
      </c>
      <c r="K198" s="24">
        <f>SUM(K199:K199)</f>
        <v>0</v>
      </c>
      <c r="L198" s="24">
        <f>SUM(L199:L199)+210398</f>
        <v>210398</v>
      </c>
      <c r="M198" s="24">
        <f>SUM(M199:M199)</f>
        <v>0</v>
      </c>
      <c r="N198" s="24">
        <f>SUM(N199:N199)</f>
        <v>0</v>
      </c>
      <c r="O198" s="24">
        <f>SUM(O199:O199)+267901.59</f>
        <v>267901.59000000003</v>
      </c>
      <c r="P198" s="24">
        <f>SUM(P199:P199)+40000</f>
        <v>40000</v>
      </c>
      <c r="Q198" s="24">
        <f>SUM(Q199:Q199)</f>
        <v>0</v>
      </c>
      <c r="R198" s="24">
        <f>SUM(R199:R199)</f>
        <v>0</v>
      </c>
      <c r="S198" s="24">
        <f>SUM(S199:S199)</f>
        <v>0</v>
      </c>
      <c r="T198" s="24">
        <f>SUM(T199:T199)+17505.95</f>
        <v>17505.95</v>
      </c>
      <c r="U198" s="24">
        <f>SUM(U199:U199)</f>
        <v>0</v>
      </c>
      <c r="V198" s="24">
        <f>SUM(V199:V199)+210395.64</f>
        <v>210395.64</v>
      </c>
      <c r="W198" s="24">
        <f>SUM(W199:W199)</f>
        <v>0</v>
      </c>
      <c r="X198" s="24">
        <f>SUM(X199:X199)</f>
        <v>0</v>
      </c>
      <c r="Y198" s="23" t="s">
        <v>470</v>
      </c>
      <c r="Z198" s="25" t="s">
        <v>34</v>
      </c>
      <c r="AA198" s="25" t="s">
        <v>42</v>
      </c>
      <c r="AB198" s="25" t="s">
        <v>42</v>
      </c>
      <c r="AC198" s="26"/>
    </row>
    <row r="199" spans="1:29" ht="60.75" customHeight="1" x14ac:dyDescent="0.25">
      <c r="A199" s="21" t="s">
        <v>471</v>
      </c>
      <c r="B199" s="22" t="s">
        <v>472</v>
      </c>
      <c r="C199" s="23"/>
      <c r="D199" s="23" t="s">
        <v>214</v>
      </c>
      <c r="E199" s="27">
        <v>0</v>
      </c>
      <c r="F199" s="27">
        <v>0</v>
      </c>
      <c r="G199" s="27">
        <v>0</v>
      </c>
      <c r="H199" s="27">
        <v>0</v>
      </c>
      <c r="I199" s="27">
        <v>0</v>
      </c>
      <c r="J199" s="27">
        <v>0</v>
      </c>
      <c r="K199" s="27">
        <v>0</v>
      </c>
      <c r="L199" s="27">
        <v>0</v>
      </c>
      <c r="M199" s="27">
        <v>0</v>
      </c>
      <c r="N199" s="27">
        <v>0</v>
      </c>
      <c r="O199" s="27">
        <v>0</v>
      </c>
      <c r="P199" s="27">
        <v>0</v>
      </c>
      <c r="Q199" s="27">
        <v>0</v>
      </c>
      <c r="R199" s="27">
        <v>0</v>
      </c>
      <c r="S199" s="27">
        <v>0</v>
      </c>
      <c r="T199" s="27">
        <v>0</v>
      </c>
      <c r="U199" s="27">
        <v>0</v>
      </c>
      <c r="V199" s="27">
        <v>0</v>
      </c>
      <c r="W199" s="27">
        <v>0</v>
      </c>
      <c r="X199" s="27">
        <v>0</v>
      </c>
      <c r="Y199" s="23"/>
      <c r="Z199" s="25"/>
      <c r="AA199" s="25"/>
      <c r="AB199" s="25"/>
      <c r="AC199" s="26"/>
    </row>
    <row r="200" spans="1:29" ht="45.75" customHeight="1" x14ac:dyDescent="0.25">
      <c r="A200" s="21" t="s">
        <v>473</v>
      </c>
      <c r="B200" s="22" t="s">
        <v>474</v>
      </c>
      <c r="C200" s="23" t="s">
        <v>25</v>
      </c>
      <c r="D200" s="23" t="s">
        <v>475</v>
      </c>
      <c r="E200" s="24">
        <f>SUM(E201:E201)+39994</f>
        <v>39994</v>
      </c>
      <c r="F200" s="24">
        <f>SUM(F201:F201)+24000</f>
        <v>24000</v>
      </c>
      <c r="G200" s="24">
        <f>SUM(G201:G201)</f>
        <v>0</v>
      </c>
      <c r="H200" s="24">
        <f>SUM(H201:H201)</f>
        <v>0</v>
      </c>
      <c r="I200" s="24">
        <f>SUM(I201:I201)</f>
        <v>0</v>
      </c>
      <c r="J200" s="24">
        <f>SUM(J201:J201)</f>
        <v>0</v>
      </c>
      <c r="K200" s="24">
        <f>SUM(K201:K201)</f>
        <v>0</v>
      </c>
      <c r="L200" s="24">
        <f>SUM(L201:L201)+15994</f>
        <v>15994</v>
      </c>
      <c r="M200" s="24">
        <f>SUM(M201:M201)</f>
        <v>0</v>
      </c>
      <c r="N200" s="24">
        <f>SUM(N201:N201)</f>
        <v>0</v>
      </c>
      <c r="O200" s="24">
        <f>SUM(O201:O201)+23990.56</f>
        <v>23990.560000000001</v>
      </c>
      <c r="P200" s="24">
        <f>SUM(P201:P201)+7997.56</f>
        <v>7997.56</v>
      </c>
      <c r="Q200" s="24">
        <f>SUM(Q201:Q201)</f>
        <v>0</v>
      </c>
      <c r="R200" s="24">
        <f>SUM(R201:R201)</f>
        <v>0</v>
      </c>
      <c r="S200" s="24">
        <f>SUM(S201:S201)</f>
        <v>0</v>
      </c>
      <c r="T200" s="24">
        <f>SUM(T201:T201)</f>
        <v>0</v>
      </c>
      <c r="U200" s="24">
        <f>SUM(U201:U201)</f>
        <v>0</v>
      </c>
      <c r="V200" s="24">
        <f>SUM(V201:V201)+15993</f>
        <v>15993</v>
      </c>
      <c r="W200" s="24">
        <f>SUM(W201:W201)</f>
        <v>0</v>
      </c>
      <c r="X200" s="24">
        <f>SUM(X201:X201)</f>
        <v>0</v>
      </c>
      <c r="Y200" s="23" t="s">
        <v>476</v>
      </c>
      <c r="Z200" s="25" t="s">
        <v>34</v>
      </c>
      <c r="AA200" s="25" t="s">
        <v>42</v>
      </c>
      <c r="AB200" s="25" t="s">
        <v>42</v>
      </c>
      <c r="AC200" s="26"/>
    </row>
    <row r="201" spans="1:29" ht="33.75" customHeight="1" x14ac:dyDescent="0.25">
      <c r="A201" s="21" t="s">
        <v>477</v>
      </c>
      <c r="B201" s="22" t="s">
        <v>402</v>
      </c>
      <c r="C201" s="23"/>
      <c r="D201" s="23" t="s">
        <v>214</v>
      </c>
      <c r="E201" s="27">
        <v>0</v>
      </c>
      <c r="F201" s="27">
        <v>0</v>
      </c>
      <c r="G201" s="27">
        <v>0</v>
      </c>
      <c r="H201" s="27">
        <v>0</v>
      </c>
      <c r="I201" s="27">
        <v>0</v>
      </c>
      <c r="J201" s="27">
        <v>0</v>
      </c>
      <c r="K201" s="27">
        <v>0</v>
      </c>
      <c r="L201" s="27">
        <v>0</v>
      </c>
      <c r="M201" s="27">
        <v>0</v>
      </c>
      <c r="N201" s="27">
        <v>0</v>
      </c>
      <c r="O201" s="27">
        <v>0</v>
      </c>
      <c r="P201" s="27">
        <v>0</v>
      </c>
      <c r="Q201" s="27">
        <v>0</v>
      </c>
      <c r="R201" s="27">
        <v>0</v>
      </c>
      <c r="S201" s="27">
        <v>0</v>
      </c>
      <c r="T201" s="27">
        <v>0</v>
      </c>
      <c r="U201" s="27">
        <v>0</v>
      </c>
      <c r="V201" s="27">
        <v>0</v>
      </c>
      <c r="W201" s="27">
        <v>0</v>
      </c>
      <c r="X201" s="27">
        <v>0</v>
      </c>
      <c r="Y201" s="23"/>
      <c r="Z201" s="25"/>
      <c r="AA201" s="25"/>
      <c r="AB201" s="25"/>
      <c r="AC201" s="26"/>
    </row>
    <row r="202" spans="1:29" ht="75.75" customHeight="1" x14ac:dyDescent="0.25">
      <c r="A202" s="9" t="s">
        <v>478</v>
      </c>
      <c r="B202" s="10" t="s">
        <v>479</v>
      </c>
      <c r="C202" s="11"/>
      <c r="D202" s="11"/>
      <c r="E202" s="12">
        <f t="shared" ref="E202:X202" si="69">SUM(E203:E203)</f>
        <v>138591.44</v>
      </c>
      <c r="F202" s="12">
        <f t="shared" si="69"/>
        <v>21204</v>
      </c>
      <c r="G202" s="12">
        <f t="shared" si="69"/>
        <v>0</v>
      </c>
      <c r="H202" s="12">
        <f t="shared" si="69"/>
        <v>0</v>
      </c>
      <c r="I202" s="12">
        <f t="shared" si="69"/>
        <v>0</v>
      </c>
      <c r="J202" s="12">
        <f t="shared" si="69"/>
        <v>0</v>
      </c>
      <c r="K202" s="12">
        <f t="shared" si="69"/>
        <v>94983.44</v>
      </c>
      <c r="L202" s="12">
        <f t="shared" si="69"/>
        <v>22404</v>
      </c>
      <c r="M202" s="12">
        <f t="shared" si="69"/>
        <v>0</v>
      </c>
      <c r="N202" s="12">
        <f t="shared" si="69"/>
        <v>0</v>
      </c>
      <c r="O202" s="12">
        <f t="shared" si="69"/>
        <v>143056.88</v>
      </c>
      <c r="P202" s="12">
        <f t="shared" si="69"/>
        <v>18159.78</v>
      </c>
      <c r="Q202" s="12">
        <f t="shared" si="69"/>
        <v>0</v>
      </c>
      <c r="R202" s="12">
        <f t="shared" si="69"/>
        <v>0</v>
      </c>
      <c r="S202" s="12">
        <f t="shared" si="69"/>
        <v>0</v>
      </c>
      <c r="T202" s="12">
        <f t="shared" si="69"/>
        <v>0</v>
      </c>
      <c r="U202" s="12">
        <f t="shared" si="69"/>
        <v>114998.89</v>
      </c>
      <c r="V202" s="12">
        <f t="shared" si="69"/>
        <v>9898.2100000000009</v>
      </c>
      <c r="W202" s="12">
        <f t="shared" si="69"/>
        <v>0</v>
      </c>
      <c r="X202" s="12">
        <f t="shared" si="69"/>
        <v>0</v>
      </c>
      <c r="Y202" s="11"/>
      <c r="Z202" s="13"/>
      <c r="AA202" s="13"/>
      <c r="AB202" s="13"/>
      <c r="AC202" s="14"/>
    </row>
    <row r="203" spans="1:29" ht="66.75" customHeight="1" x14ac:dyDescent="0.25">
      <c r="A203" s="15" t="s">
        <v>480</v>
      </c>
      <c r="B203" s="16" t="s">
        <v>481</v>
      </c>
      <c r="C203" s="17"/>
      <c r="D203" s="17"/>
      <c r="E203" s="18">
        <f t="shared" ref="E203:X203" si="70">E204+E212+E214</f>
        <v>138591.44</v>
      </c>
      <c r="F203" s="18">
        <f t="shared" si="70"/>
        <v>21204</v>
      </c>
      <c r="G203" s="18">
        <f t="shared" si="70"/>
        <v>0</v>
      </c>
      <c r="H203" s="18">
        <f t="shared" si="70"/>
        <v>0</v>
      </c>
      <c r="I203" s="18">
        <f t="shared" si="70"/>
        <v>0</v>
      </c>
      <c r="J203" s="18">
        <f t="shared" si="70"/>
        <v>0</v>
      </c>
      <c r="K203" s="18">
        <f t="shared" si="70"/>
        <v>94983.44</v>
      </c>
      <c r="L203" s="18">
        <f t="shared" si="70"/>
        <v>22404</v>
      </c>
      <c r="M203" s="18">
        <f t="shared" si="70"/>
        <v>0</v>
      </c>
      <c r="N203" s="18">
        <f t="shared" si="70"/>
        <v>0</v>
      </c>
      <c r="O203" s="18">
        <f t="shared" si="70"/>
        <v>143056.88</v>
      </c>
      <c r="P203" s="18">
        <f t="shared" si="70"/>
        <v>18159.78</v>
      </c>
      <c r="Q203" s="18">
        <f t="shared" si="70"/>
        <v>0</v>
      </c>
      <c r="R203" s="18">
        <f t="shared" si="70"/>
        <v>0</v>
      </c>
      <c r="S203" s="18">
        <f t="shared" si="70"/>
        <v>0</v>
      </c>
      <c r="T203" s="18">
        <f t="shared" si="70"/>
        <v>0</v>
      </c>
      <c r="U203" s="18">
        <f t="shared" si="70"/>
        <v>114998.89</v>
      </c>
      <c r="V203" s="18">
        <f t="shared" si="70"/>
        <v>9898.2100000000009</v>
      </c>
      <c r="W203" s="18">
        <f t="shared" si="70"/>
        <v>0</v>
      </c>
      <c r="X203" s="18">
        <f t="shared" si="70"/>
        <v>0</v>
      </c>
      <c r="Y203" s="17"/>
      <c r="Z203" s="19"/>
      <c r="AA203" s="19"/>
      <c r="AB203" s="19"/>
      <c r="AC203" s="20"/>
    </row>
    <row r="204" spans="1:29" ht="105.75" customHeight="1" x14ac:dyDescent="0.25">
      <c r="A204" s="21" t="s">
        <v>482</v>
      </c>
      <c r="B204" s="22" t="s">
        <v>483</v>
      </c>
      <c r="C204" s="23"/>
      <c r="D204" s="23" t="s">
        <v>197</v>
      </c>
      <c r="E204" s="24">
        <f>SUM(E205:E211)+109647.44</f>
        <v>109647.44</v>
      </c>
      <c r="F204" s="24">
        <f>SUM(F205:F211)+20000</f>
        <v>20000</v>
      </c>
      <c r="G204" s="24">
        <f>SUM(G205:G211)</f>
        <v>0</v>
      </c>
      <c r="H204" s="24">
        <f>SUM(H205:H211)</f>
        <v>0</v>
      </c>
      <c r="I204" s="24">
        <f>SUM(I205:I211)</f>
        <v>0</v>
      </c>
      <c r="J204" s="24">
        <f>SUM(J205:J211)</f>
        <v>0</v>
      </c>
      <c r="K204" s="24">
        <f>SUM(K205:K211)+70147.44</f>
        <v>70147.44</v>
      </c>
      <c r="L204" s="24">
        <f>SUM(L205:L211)+19500</f>
        <v>19500</v>
      </c>
      <c r="M204" s="24">
        <f>SUM(M205:M211)</f>
        <v>0</v>
      </c>
      <c r="N204" s="24">
        <f>SUM(N205:N211)</f>
        <v>0</v>
      </c>
      <c r="O204" s="24">
        <f>SUM(O205:O211)+98907.15</f>
        <v>98907.15</v>
      </c>
      <c r="P204" s="24">
        <f>SUM(P205:P211)+13355.78</f>
        <v>13355.78</v>
      </c>
      <c r="Q204" s="24">
        <f>SUM(Q205:Q211)</f>
        <v>0</v>
      </c>
      <c r="R204" s="24">
        <f>SUM(R205:R211)</f>
        <v>0</v>
      </c>
      <c r="S204" s="24">
        <f>SUM(S205:S211)</f>
        <v>0</v>
      </c>
      <c r="T204" s="24">
        <f>SUM(T205:T211)</f>
        <v>0</v>
      </c>
      <c r="U204" s="24">
        <f>SUM(U205:U211)+78745.69</f>
        <v>78745.69</v>
      </c>
      <c r="V204" s="24">
        <f>SUM(V205:V211)+6805.68</f>
        <v>6805.68</v>
      </c>
      <c r="W204" s="24">
        <f>SUM(W205:W211)</f>
        <v>0</v>
      </c>
      <c r="X204" s="24">
        <f>SUM(X205:X211)</f>
        <v>0</v>
      </c>
      <c r="Y204" s="23" t="s">
        <v>484</v>
      </c>
      <c r="Z204" s="25" t="s">
        <v>34</v>
      </c>
      <c r="AA204" s="25" t="s">
        <v>109</v>
      </c>
      <c r="AB204" s="25" t="s">
        <v>109</v>
      </c>
      <c r="AC204" s="26"/>
    </row>
    <row r="205" spans="1:29" x14ac:dyDescent="0.25">
      <c r="A205" s="28"/>
      <c r="B205" s="29"/>
      <c r="C205" s="30"/>
      <c r="D205" s="30"/>
      <c r="E205" s="31">
        <v>0</v>
      </c>
      <c r="F205" s="31">
        <v>0</v>
      </c>
      <c r="G205" s="31">
        <v>0</v>
      </c>
      <c r="H205" s="31">
        <v>0</v>
      </c>
      <c r="I205" s="31">
        <v>0</v>
      </c>
      <c r="J205" s="31">
        <v>0</v>
      </c>
      <c r="K205" s="31">
        <v>0</v>
      </c>
      <c r="L205" s="31">
        <v>0</v>
      </c>
      <c r="M205" s="31">
        <v>0</v>
      </c>
      <c r="N205" s="31">
        <v>0</v>
      </c>
      <c r="O205" s="31">
        <v>0</v>
      </c>
      <c r="P205" s="31">
        <v>0</v>
      </c>
      <c r="Q205" s="31">
        <v>0</v>
      </c>
      <c r="R205" s="31">
        <v>0</v>
      </c>
      <c r="S205" s="31">
        <v>0</v>
      </c>
      <c r="T205" s="31">
        <v>0</v>
      </c>
      <c r="U205" s="31">
        <v>0</v>
      </c>
      <c r="V205" s="31">
        <v>0</v>
      </c>
      <c r="W205" s="31">
        <v>0</v>
      </c>
      <c r="X205" s="31">
        <v>0</v>
      </c>
      <c r="Y205" s="30" t="s">
        <v>485</v>
      </c>
      <c r="Z205" s="32" t="s">
        <v>34</v>
      </c>
      <c r="AA205" s="32" t="s">
        <v>42</v>
      </c>
      <c r="AB205" s="32" t="s">
        <v>42</v>
      </c>
      <c r="AC205" s="33"/>
    </row>
    <row r="206" spans="1:29" x14ac:dyDescent="0.25">
      <c r="A206" s="28"/>
      <c r="B206" s="29"/>
      <c r="C206" s="30"/>
      <c r="D206" s="30"/>
      <c r="E206" s="31">
        <v>0</v>
      </c>
      <c r="F206" s="31">
        <v>0</v>
      </c>
      <c r="G206" s="31">
        <v>0</v>
      </c>
      <c r="H206" s="31">
        <v>0</v>
      </c>
      <c r="I206" s="31">
        <v>0</v>
      </c>
      <c r="J206" s="31">
        <v>0</v>
      </c>
      <c r="K206" s="31">
        <v>0</v>
      </c>
      <c r="L206" s="31">
        <v>0</v>
      </c>
      <c r="M206" s="31">
        <v>0</v>
      </c>
      <c r="N206" s="31">
        <v>0</v>
      </c>
      <c r="O206" s="31">
        <v>0</v>
      </c>
      <c r="P206" s="31">
        <v>0</v>
      </c>
      <c r="Q206" s="31">
        <v>0</v>
      </c>
      <c r="R206" s="31">
        <v>0</v>
      </c>
      <c r="S206" s="31">
        <v>0</v>
      </c>
      <c r="T206" s="31">
        <v>0</v>
      </c>
      <c r="U206" s="31">
        <v>0</v>
      </c>
      <c r="V206" s="31">
        <v>0</v>
      </c>
      <c r="W206" s="31">
        <v>0</v>
      </c>
      <c r="X206" s="31">
        <v>0</v>
      </c>
      <c r="Y206" s="30" t="s">
        <v>486</v>
      </c>
      <c r="Z206" s="32" t="s">
        <v>34</v>
      </c>
      <c r="AA206" s="32" t="s">
        <v>168</v>
      </c>
      <c r="AB206" s="32" t="s">
        <v>168</v>
      </c>
      <c r="AC206" s="33"/>
    </row>
    <row r="207" spans="1:29" ht="40.5" x14ac:dyDescent="0.25">
      <c r="A207" s="28"/>
      <c r="B207" s="29"/>
      <c r="C207" s="30"/>
      <c r="D207" s="30"/>
      <c r="E207" s="31">
        <v>0</v>
      </c>
      <c r="F207" s="31">
        <v>0</v>
      </c>
      <c r="G207" s="31">
        <v>0</v>
      </c>
      <c r="H207" s="31">
        <v>0</v>
      </c>
      <c r="I207" s="31">
        <v>0</v>
      </c>
      <c r="J207" s="31">
        <v>0</v>
      </c>
      <c r="K207" s="31">
        <v>0</v>
      </c>
      <c r="L207" s="31">
        <v>0</v>
      </c>
      <c r="M207" s="31">
        <v>0</v>
      </c>
      <c r="N207" s="31">
        <v>0</v>
      </c>
      <c r="O207" s="31">
        <v>0</v>
      </c>
      <c r="P207" s="31">
        <v>0</v>
      </c>
      <c r="Q207" s="31">
        <v>0</v>
      </c>
      <c r="R207" s="31">
        <v>0</v>
      </c>
      <c r="S207" s="31">
        <v>0</v>
      </c>
      <c r="T207" s="31">
        <v>0</v>
      </c>
      <c r="U207" s="31">
        <v>0</v>
      </c>
      <c r="V207" s="31">
        <v>0</v>
      </c>
      <c r="W207" s="31">
        <v>0</v>
      </c>
      <c r="X207" s="31">
        <v>0</v>
      </c>
      <c r="Y207" s="30" t="s">
        <v>487</v>
      </c>
      <c r="Z207" s="32" t="s">
        <v>450</v>
      </c>
      <c r="AA207" s="32" t="s">
        <v>108</v>
      </c>
      <c r="AB207" s="32" t="s">
        <v>108</v>
      </c>
      <c r="AC207" s="33"/>
    </row>
    <row r="208" spans="1:29" ht="90" customHeight="1" x14ac:dyDescent="0.25">
      <c r="A208" s="21" t="s">
        <v>488</v>
      </c>
      <c r="B208" s="22" t="s">
        <v>489</v>
      </c>
      <c r="C208" s="23"/>
      <c r="D208" s="23" t="s">
        <v>197</v>
      </c>
      <c r="E208" s="27">
        <v>0</v>
      </c>
      <c r="F208" s="27">
        <v>0</v>
      </c>
      <c r="G208" s="27">
        <v>0</v>
      </c>
      <c r="H208" s="27">
        <v>0</v>
      </c>
      <c r="I208" s="27">
        <v>0</v>
      </c>
      <c r="J208" s="27">
        <v>0</v>
      </c>
      <c r="K208" s="27">
        <v>0</v>
      </c>
      <c r="L208" s="27">
        <v>0</v>
      </c>
      <c r="M208" s="27">
        <v>0</v>
      </c>
      <c r="N208" s="27">
        <v>0</v>
      </c>
      <c r="O208" s="27">
        <v>0</v>
      </c>
      <c r="P208" s="27">
        <v>0</v>
      </c>
      <c r="Q208" s="27">
        <v>0</v>
      </c>
      <c r="R208" s="27">
        <v>0</v>
      </c>
      <c r="S208" s="27">
        <v>0</v>
      </c>
      <c r="T208" s="27">
        <v>0</v>
      </c>
      <c r="U208" s="27">
        <v>0</v>
      </c>
      <c r="V208" s="27">
        <v>0</v>
      </c>
      <c r="W208" s="27">
        <v>0</v>
      </c>
      <c r="X208" s="27">
        <v>0</v>
      </c>
      <c r="Y208" s="23"/>
      <c r="Z208" s="25"/>
      <c r="AA208" s="25"/>
      <c r="AB208" s="25"/>
      <c r="AC208" s="26"/>
    </row>
    <row r="209" spans="1:29" ht="51.75" customHeight="1" x14ac:dyDescent="0.25">
      <c r="A209" s="21" t="s">
        <v>490</v>
      </c>
      <c r="B209" s="22" t="s">
        <v>491</v>
      </c>
      <c r="C209" s="23"/>
      <c r="D209" s="23" t="s">
        <v>197</v>
      </c>
      <c r="E209" s="27">
        <v>0</v>
      </c>
      <c r="F209" s="27">
        <v>0</v>
      </c>
      <c r="G209" s="27">
        <v>0</v>
      </c>
      <c r="H209" s="27">
        <v>0</v>
      </c>
      <c r="I209" s="27">
        <v>0</v>
      </c>
      <c r="J209" s="27">
        <v>0</v>
      </c>
      <c r="K209" s="27">
        <v>0</v>
      </c>
      <c r="L209" s="27">
        <v>0</v>
      </c>
      <c r="M209" s="27">
        <v>0</v>
      </c>
      <c r="N209" s="27">
        <v>0</v>
      </c>
      <c r="O209" s="27">
        <v>0</v>
      </c>
      <c r="P209" s="27">
        <v>0</v>
      </c>
      <c r="Q209" s="27">
        <v>0</v>
      </c>
      <c r="R209" s="27">
        <v>0</v>
      </c>
      <c r="S209" s="27">
        <v>0</v>
      </c>
      <c r="T209" s="27">
        <v>0</v>
      </c>
      <c r="U209" s="27">
        <v>0</v>
      </c>
      <c r="V209" s="27">
        <v>0</v>
      </c>
      <c r="W209" s="27">
        <v>0</v>
      </c>
      <c r="X209" s="27">
        <v>0</v>
      </c>
      <c r="Y209" s="23"/>
      <c r="Z209" s="25"/>
      <c r="AA209" s="25"/>
      <c r="AB209" s="25"/>
      <c r="AC209" s="26"/>
    </row>
    <row r="210" spans="1:29" ht="51.75" customHeight="1" x14ac:dyDescent="0.25">
      <c r="A210" s="21" t="s">
        <v>492</v>
      </c>
      <c r="B210" s="22" t="s">
        <v>493</v>
      </c>
      <c r="C210" s="23"/>
      <c r="D210" s="23" t="s">
        <v>197</v>
      </c>
      <c r="E210" s="27">
        <v>0</v>
      </c>
      <c r="F210" s="27">
        <v>0</v>
      </c>
      <c r="G210" s="27">
        <v>0</v>
      </c>
      <c r="H210" s="27">
        <v>0</v>
      </c>
      <c r="I210" s="27">
        <v>0</v>
      </c>
      <c r="J210" s="27">
        <v>0</v>
      </c>
      <c r="K210" s="27">
        <v>0</v>
      </c>
      <c r="L210" s="27">
        <v>0</v>
      </c>
      <c r="M210" s="27">
        <v>0</v>
      </c>
      <c r="N210" s="27">
        <v>0</v>
      </c>
      <c r="O210" s="27">
        <v>0</v>
      </c>
      <c r="P210" s="27">
        <v>0</v>
      </c>
      <c r="Q210" s="27">
        <v>0</v>
      </c>
      <c r="R210" s="27">
        <v>0</v>
      </c>
      <c r="S210" s="27">
        <v>0</v>
      </c>
      <c r="T210" s="27">
        <v>0</v>
      </c>
      <c r="U210" s="27">
        <v>0</v>
      </c>
      <c r="V210" s="27">
        <v>0</v>
      </c>
      <c r="W210" s="27">
        <v>0</v>
      </c>
      <c r="X210" s="27">
        <v>0</v>
      </c>
      <c r="Y210" s="23"/>
      <c r="Z210" s="25"/>
      <c r="AA210" s="25"/>
      <c r="AB210" s="25"/>
      <c r="AC210" s="26"/>
    </row>
    <row r="211" spans="1:29" ht="63" customHeight="1" x14ac:dyDescent="0.25">
      <c r="A211" s="21" t="s">
        <v>494</v>
      </c>
      <c r="B211" s="22" t="s">
        <v>495</v>
      </c>
      <c r="C211" s="23"/>
      <c r="D211" s="23" t="s">
        <v>197</v>
      </c>
      <c r="E211" s="27">
        <v>0</v>
      </c>
      <c r="F211" s="27">
        <v>0</v>
      </c>
      <c r="G211" s="27">
        <v>0</v>
      </c>
      <c r="H211" s="27">
        <v>0</v>
      </c>
      <c r="I211" s="27">
        <v>0</v>
      </c>
      <c r="J211" s="27">
        <v>0</v>
      </c>
      <c r="K211" s="27">
        <v>0</v>
      </c>
      <c r="L211" s="27">
        <v>0</v>
      </c>
      <c r="M211" s="27">
        <v>0</v>
      </c>
      <c r="N211" s="27">
        <v>0</v>
      </c>
      <c r="O211" s="27">
        <v>0</v>
      </c>
      <c r="P211" s="27">
        <v>0</v>
      </c>
      <c r="Q211" s="27">
        <v>0</v>
      </c>
      <c r="R211" s="27">
        <v>0</v>
      </c>
      <c r="S211" s="27">
        <v>0</v>
      </c>
      <c r="T211" s="27">
        <v>0</v>
      </c>
      <c r="U211" s="27">
        <v>0</v>
      </c>
      <c r="V211" s="27">
        <v>0</v>
      </c>
      <c r="W211" s="27">
        <v>0</v>
      </c>
      <c r="X211" s="27">
        <v>0</v>
      </c>
      <c r="Y211" s="23"/>
      <c r="Z211" s="25"/>
      <c r="AA211" s="25"/>
      <c r="AB211" s="25"/>
      <c r="AC211" s="26"/>
    </row>
    <row r="212" spans="1:29" ht="63.75" customHeight="1" x14ac:dyDescent="0.25">
      <c r="A212" s="21" t="s">
        <v>496</v>
      </c>
      <c r="B212" s="22" t="s">
        <v>497</v>
      </c>
      <c r="C212" s="23"/>
      <c r="D212" s="23" t="s">
        <v>197</v>
      </c>
      <c r="E212" s="24">
        <f>SUM(E213:E213)+24728</f>
        <v>24728</v>
      </c>
      <c r="F212" s="24">
        <f>SUM(F213:F213)</f>
        <v>0</v>
      </c>
      <c r="G212" s="24">
        <f>SUM(G213:G213)</f>
        <v>0</v>
      </c>
      <c r="H212" s="24">
        <f>SUM(H213:H213)</f>
        <v>0</v>
      </c>
      <c r="I212" s="24">
        <f>SUM(I213:I213)</f>
        <v>0</v>
      </c>
      <c r="J212" s="24">
        <f>SUM(J213:J213)</f>
        <v>0</v>
      </c>
      <c r="K212" s="24">
        <f>SUM(K213:K213)+22724</f>
        <v>22724</v>
      </c>
      <c r="L212" s="24">
        <f>SUM(L213:L213)+2004</f>
        <v>2004</v>
      </c>
      <c r="M212" s="24">
        <f>SUM(M213:M213)</f>
        <v>0</v>
      </c>
      <c r="N212" s="24">
        <f>SUM(N213:N213)</f>
        <v>0</v>
      </c>
      <c r="O212" s="24">
        <f>SUM(O213:O213)+41233.73</f>
        <v>41233.730000000003</v>
      </c>
      <c r="P212" s="24">
        <f>SUM(P213:P213)+4000</f>
        <v>4000</v>
      </c>
      <c r="Q212" s="24">
        <f>SUM(Q213:Q213)</f>
        <v>0</v>
      </c>
      <c r="R212" s="24">
        <f>SUM(R213:R213)</f>
        <v>0</v>
      </c>
      <c r="S212" s="24">
        <f>SUM(S213:S213)</f>
        <v>0</v>
      </c>
      <c r="T212" s="24">
        <f>SUM(T213:T213)</f>
        <v>0</v>
      </c>
      <c r="U212" s="24">
        <f>SUM(U213:U213)+34141.2</f>
        <v>34141.199999999997</v>
      </c>
      <c r="V212" s="24">
        <f>SUM(V213:V213)+3092.53</f>
        <v>3092.53</v>
      </c>
      <c r="W212" s="24">
        <f>SUM(W213:W213)</f>
        <v>0</v>
      </c>
      <c r="X212" s="24">
        <f>SUM(X213:X213)</f>
        <v>0</v>
      </c>
      <c r="Y212" s="23" t="s">
        <v>498</v>
      </c>
      <c r="Z212" s="25" t="s">
        <v>34</v>
      </c>
      <c r="AA212" s="25" t="s">
        <v>499</v>
      </c>
      <c r="AB212" s="25" t="s">
        <v>499</v>
      </c>
      <c r="AC212" s="26"/>
    </row>
    <row r="213" spans="1:29" ht="77.25" customHeight="1" x14ac:dyDescent="0.25">
      <c r="A213" s="21" t="s">
        <v>500</v>
      </c>
      <c r="B213" s="22" t="s">
        <v>501</v>
      </c>
      <c r="C213" s="23"/>
      <c r="D213" s="23" t="s">
        <v>197</v>
      </c>
      <c r="E213" s="27">
        <v>0</v>
      </c>
      <c r="F213" s="27">
        <v>0</v>
      </c>
      <c r="G213" s="27">
        <v>0</v>
      </c>
      <c r="H213" s="27">
        <v>0</v>
      </c>
      <c r="I213" s="27">
        <v>0</v>
      </c>
      <c r="J213" s="27">
        <v>0</v>
      </c>
      <c r="K213" s="27">
        <v>0</v>
      </c>
      <c r="L213" s="27">
        <v>0</v>
      </c>
      <c r="M213" s="27">
        <v>0</v>
      </c>
      <c r="N213" s="27">
        <v>0</v>
      </c>
      <c r="O213" s="27">
        <v>0</v>
      </c>
      <c r="P213" s="27">
        <v>0</v>
      </c>
      <c r="Q213" s="27">
        <v>0</v>
      </c>
      <c r="R213" s="27">
        <v>0</v>
      </c>
      <c r="S213" s="27">
        <v>0</v>
      </c>
      <c r="T213" s="27">
        <v>0</v>
      </c>
      <c r="U213" s="27">
        <v>0</v>
      </c>
      <c r="V213" s="27">
        <v>0</v>
      </c>
      <c r="W213" s="27">
        <v>0</v>
      </c>
      <c r="X213" s="27">
        <v>0</v>
      </c>
      <c r="Y213" s="23"/>
      <c r="Z213" s="25"/>
      <c r="AA213" s="25"/>
      <c r="AB213" s="25"/>
      <c r="AC213" s="26"/>
    </row>
    <row r="214" spans="1:29" ht="120.75" customHeight="1" x14ac:dyDescent="0.25">
      <c r="A214" s="21" t="s">
        <v>502</v>
      </c>
      <c r="B214" s="22" t="s">
        <v>503</v>
      </c>
      <c r="C214" s="23"/>
      <c r="D214" s="23" t="s">
        <v>197</v>
      </c>
      <c r="E214" s="24">
        <f>SUM(E215:E215)+4216</f>
        <v>4216</v>
      </c>
      <c r="F214" s="24">
        <f>SUM(F215:F215)+1204</f>
        <v>1204</v>
      </c>
      <c r="G214" s="24">
        <f>SUM(G215:G215)</f>
        <v>0</v>
      </c>
      <c r="H214" s="24">
        <f>SUM(H215:H215)</f>
        <v>0</v>
      </c>
      <c r="I214" s="24">
        <f>SUM(I215:I215)</f>
        <v>0</v>
      </c>
      <c r="J214" s="24">
        <f>SUM(J215:J215)</f>
        <v>0</v>
      </c>
      <c r="K214" s="24">
        <f>SUM(K215:K215)+2112</f>
        <v>2112</v>
      </c>
      <c r="L214" s="24">
        <f>SUM(L215:L215)+900</f>
        <v>900</v>
      </c>
      <c r="M214" s="24">
        <f>SUM(M215:M215)</f>
        <v>0</v>
      </c>
      <c r="N214" s="24">
        <f>SUM(N215:N215)</f>
        <v>0</v>
      </c>
      <c r="O214" s="24">
        <f>SUM(O215:O215)+2916</f>
        <v>2916</v>
      </c>
      <c r="P214" s="24">
        <f>SUM(P215:P215)+804</f>
        <v>804</v>
      </c>
      <c r="Q214" s="24">
        <f>SUM(Q215:Q215)</f>
        <v>0</v>
      </c>
      <c r="R214" s="24">
        <f>SUM(R215:R215)</f>
        <v>0</v>
      </c>
      <c r="S214" s="24">
        <f>SUM(S215:S215)</f>
        <v>0</v>
      </c>
      <c r="T214" s="24">
        <f>SUM(T215:T215)</f>
        <v>0</v>
      </c>
      <c r="U214" s="24">
        <f>SUM(U215:U215)+2112</f>
        <v>2112</v>
      </c>
      <c r="V214" s="24">
        <f>SUM(V215:V215)</f>
        <v>0</v>
      </c>
      <c r="W214" s="24">
        <f>SUM(W215:W215)</f>
        <v>0</v>
      </c>
      <c r="X214" s="24">
        <f>SUM(X215:X215)</f>
        <v>0</v>
      </c>
      <c r="Y214" s="23" t="s">
        <v>504</v>
      </c>
      <c r="Z214" s="25" t="s">
        <v>34</v>
      </c>
      <c r="AA214" s="25" t="s">
        <v>164</v>
      </c>
      <c r="AB214" s="25" t="s">
        <v>48</v>
      </c>
      <c r="AC214" s="26" t="s">
        <v>505</v>
      </c>
    </row>
    <row r="215" spans="1:29" ht="82.5" customHeight="1" x14ac:dyDescent="0.25">
      <c r="A215" s="21" t="s">
        <v>506</v>
      </c>
      <c r="B215" s="22" t="s">
        <v>507</v>
      </c>
      <c r="C215" s="23"/>
      <c r="D215" s="23" t="s">
        <v>197</v>
      </c>
      <c r="E215" s="27">
        <v>0</v>
      </c>
      <c r="F215" s="27">
        <v>0</v>
      </c>
      <c r="G215" s="27">
        <v>0</v>
      </c>
      <c r="H215" s="27">
        <v>0</v>
      </c>
      <c r="I215" s="27">
        <v>0</v>
      </c>
      <c r="J215" s="27">
        <v>0</v>
      </c>
      <c r="K215" s="27">
        <v>0</v>
      </c>
      <c r="L215" s="27">
        <v>0</v>
      </c>
      <c r="M215" s="27">
        <v>0</v>
      </c>
      <c r="N215" s="27">
        <v>0</v>
      </c>
      <c r="O215" s="27">
        <v>0</v>
      </c>
      <c r="P215" s="27">
        <v>0</v>
      </c>
      <c r="Q215" s="27">
        <v>0</v>
      </c>
      <c r="R215" s="27">
        <v>0</v>
      </c>
      <c r="S215" s="27">
        <v>0</v>
      </c>
      <c r="T215" s="27">
        <v>0</v>
      </c>
      <c r="U215" s="27">
        <v>0</v>
      </c>
      <c r="V215" s="27">
        <v>0</v>
      </c>
      <c r="W215" s="27">
        <v>0</v>
      </c>
      <c r="X215" s="27">
        <v>0</v>
      </c>
      <c r="Y215" s="23"/>
      <c r="Z215" s="25"/>
      <c r="AA215" s="25"/>
      <c r="AB215" s="25"/>
      <c r="AC215" s="26"/>
    </row>
    <row r="216" spans="1:29" ht="51.75" customHeight="1" x14ac:dyDescent="0.25">
      <c r="A216" s="9" t="s">
        <v>508</v>
      </c>
      <c r="B216" s="10" t="s">
        <v>509</v>
      </c>
      <c r="C216" s="11"/>
      <c r="D216" s="11"/>
      <c r="E216" s="12">
        <f t="shared" ref="E216:X216" si="71">E217+E220</f>
        <v>1089072</v>
      </c>
      <c r="F216" s="12">
        <f t="shared" si="71"/>
        <v>48212</v>
      </c>
      <c r="G216" s="12">
        <f t="shared" si="71"/>
        <v>0</v>
      </c>
      <c r="H216" s="12">
        <f t="shared" si="71"/>
        <v>0</v>
      </c>
      <c r="I216" s="12">
        <f t="shared" si="71"/>
        <v>0</v>
      </c>
      <c r="J216" s="12">
        <f t="shared" si="71"/>
        <v>6304</v>
      </c>
      <c r="K216" s="12">
        <f t="shared" si="71"/>
        <v>506654</v>
      </c>
      <c r="L216" s="12">
        <f t="shared" si="71"/>
        <v>0</v>
      </c>
      <c r="M216" s="12">
        <f t="shared" si="71"/>
        <v>0</v>
      </c>
      <c r="N216" s="12">
        <f t="shared" si="71"/>
        <v>527902</v>
      </c>
      <c r="O216" s="12">
        <f t="shared" si="71"/>
        <v>550084.14</v>
      </c>
      <c r="P216" s="12">
        <f t="shared" si="71"/>
        <v>37126.97</v>
      </c>
      <c r="Q216" s="12">
        <f t="shared" si="71"/>
        <v>0</v>
      </c>
      <c r="R216" s="12">
        <f t="shared" si="71"/>
        <v>0</v>
      </c>
      <c r="S216" s="12">
        <f t="shared" si="71"/>
        <v>0</v>
      </c>
      <c r="T216" s="12">
        <f t="shared" si="71"/>
        <v>6303.86</v>
      </c>
      <c r="U216" s="12">
        <f t="shared" si="71"/>
        <v>506653.31</v>
      </c>
      <c r="V216" s="12">
        <f t="shared" si="71"/>
        <v>0</v>
      </c>
      <c r="W216" s="12">
        <f t="shared" si="71"/>
        <v>0</v>
      </c>
      <c r="X216" s="12">
        <f t="shared" si="71"/>
        <v>0</v>
      </c>
      <c r="Y216" s="11"/>
      <c r="Z216" s="13"/>
      <c r="AA216" s="13"/>
      <c r="AB216" s="13"/>
      <c r="AC216" s="14"/>
    </row>
    <row r="217" spans="1:29" ht="70.5" customHeight="1" x14ac:dyDescent="0.25">
      <c r="A217" s="15" t="s">
        <v>510</v>
      </c>
      <c r="B217" s="16" t="s">
        <v>511</v>
      </c>
      <c r="C217" s="17"/>
      <c r="D217" s="17"/>
      <c r="E217" s="18">
        <f t="shared" ref="E217:X217" si="72">SUM(E218:E218)</f>
        <v>37521</v>
      </c>
      <c r="F217" s="18">
        <f t="shared" si="72"/>
        <v>37521</v>
      </c>
      <c r="G217" s="18">
        <f t="shared" si="72"/>
        <v>0</v>
      </c>
      <c r="H217" s="18">
        <f t="shared" si="72"/>
        <v>0</v>
      </c>
      <c r="I217" s="18">
        <f t="shared" si="72"/>
        <v>0</v>
      </c>
      <c r="J217" s="18">
        <f t="shared" si="72"/>
        <v>0</v>
      </c>
      <c r="K217" s="18">
        <f t="shared" si="72"/>
        <v>0</v>
      </c>
      <c r="L217" s="18">
        <f t="shared" si="72"/>
        <v>0</v>
      </c>
      <c r="M217" s="18">
        <f t="shared" si="72"/>
        <v>0</v>
      </c>
      <c r="N217" s="18">
        <f t="shared" si="72"/>
        <v>0</v>
      </c>
      <c r="O217" s="18">
        <f t="shared" si="72"/>
        <v>26436.14</v>
      </c>
      <c r="P217" s="18">
        <f t="shared" si="72"/>
        <v>26436.14</v>
      </c>
      <c r="Q217" s="18">
        <f t="shared" si="72"/>
        <v>0</v>
      </c>
      <c r="R217" s="18">
        <f t="shared" si="72"/>
        <v>0</v>
      </c>
      <c r="S217" s="18">
        <f t="shared" si="72"/>
        <v>0</v>
      </c>
      <c r="T217" s="18">
        <f t="shared" si="72"/>
        <v>0</v>
      </c>
      <c r="U217" s="18">
        <f t="shared" si="72"/>
        <v>0</v>
      </c>
      <c r="V217" s="18">
        <f t="shared" si="72"/>
        <v>0</v>
      </c>
      <c r="W217" s="18">
        <f t="shared" si="72"/>
        <v>0</v>
      </c>
      <c r="X217" s="18">
        <f t="shared" si="72"/>
        <v>0</v>
      </c>
      <c r="Y217" s="17"/>
      <c r="Z217" s="19"/>
      <c r="AA217" s="19"/>
      <c r="AB217" s="19"/>
      <c r="AC217" s="20"/>
    </row>
    <row r="218" spans="1:29" ht="40.5" x14ac:dyDescent="0.25">
      <c r="A218" s="21" t="s">
        <v>512</v>
      </c>
      <c r="B218" s="22" t="s">
        <v>513</v>
      </c>
      <c r="C218" s="23" t="s">
        <v>177</v>
      </c>
      <c r="D218" s="23" t="s">
        <v>178</v>
      </c>
      <c r="E218" s="24">
        <f>SUM(E219:E219)+37521</f>
        <v>37521</v>
      </c>
      <c r="F218" s="24">
        <f>SUM(F219:F219)+37521</f>
        <v>37521</v>
      </c>
      <c r="G218" s="24">
        <f t="shared" ref="G218:N218" si="73">SUM(G219:G219)</f>
        <v>0</v>
      </c>
      <c r="H218" s="24">
        <f t="shared" si="73"/>
        <v>0</v>
      </c>
      <c r="I218" s="24">
        <f t="shared" si="73"/>
        <v>0</v>
      </c>
      <c r="J218" s="24">
        <f t="shared" si="73"/>
        <v>0</v>
      </c>
      <c r="K218" s="24">
        <f t="shared" si="73"/>
        <v>0</v>
      </c>
      <c r="L218" s="24">
        <f t="shared" si="73"/>
        <v>0</v>
      </c>
      <c r="M218" s="24">
        <f t="shared" si="73"/>
        <v>0</v>
      </c>
      <c r="N218" s="24">
        <f t="shared" si="73"/>
        <v>0</v>
      </c>
      <c r="O218" s="24">
        <f>SUM(O219:O219)+26436.14</f>
        <v>26436.14</v>
      </c>
      <c r="P218" s="24">
        <f>SUM(P219:P219)+26436.14</f>
        <v>26436.14</v>
      </c>
      <c r="Q218" s="24">
        <f t="shared" ref="Q218:X218" si="74">SUM(Q219:Q219)</f>
        <v>0</v>
      </c>
      <c r="R218" s="24">
        <f t="shared" si="74"/>
        <v>0</v>
      </c>
      <c r="S218" s="24">
        <f t="shared" si="74"/>
        <v>0</v>
      </c>
      <c r="T218" s="24">
        <f t="shared" si="74"/>
        <v>0</v>
      </c>
      <c r="U218" s="24">
        <f t="shared" si="74"/>
        <v>0</v>
      </c>
      <c r="V218" s="24">
        <f t="shared" si="74"/>
        <v>0</v>
      </c>
      <c r="W218" s="24">
        <f t="shared" si="74"/>
        <v>0</v>
      </c>
      <c r="X218" s="24">
        <f t="shared" si="74"/>
        <v>0</v>
      </c>
      <c r="Y218" s="23" t="s">
        <v>514</v>
      </c>
      <c r="Z218" s="25" t="s">
        <v>34</v>
      </c>
      <c r="AA218" s="25" t="s">
        <v>42</v>
      </c>
      <c r="AB218" s="25" t="s">
        <v>42</v>
      </c>
      <c r="AC218" s="26"/>
    </row>
    <row r="219" spans="1:29" ht="54.75" customHeight="1" x14ac:dyDescent="0.25">
      <c r="A219" s="21" t="s">
        <v>515</v>
      </c>
      <c r="B219" s="22" t="s">
        <v>516</v>
      </c>
      <c r="C219" s="23"/>
      <c r="D219" s="23" t="s">
        <v>178</v>
      </c>
      <c r="E219" s="27">
        <v>0</v>
      </c>
      <c r="F219" s="27">
        <v>0</v>
      </c>
      <c r="G219" s="27">
        <v>0</v>
      </c>
      <c r="H219" s="27">
        <v>0</v>
      </c>
      <c r="I219" s="27">
        <v>0</v>
      </c>
      <c r="J219" s="27">
        <v>0</v>
      </c>
      <c r="K219" s="27">
        <v>0</v>
      </c>
      <c r="L219" s="27">
        <v>0</v>
      </c>
      <c r="M219" s="27">
        <v>0</v>
      </c>
      <c r="N219" s="27">
        <v>0</v>
      </c>
      <c r="O219" s="27">
        <v>0</v>
      </c>
      <c r="P219" s="27">
        <v>0</v>
      </c>
      <c r="Q219" s="27">
        <v>0</v>
      </c>
      <c r="R219" s="27">
        <v>0</v>
      </c>
      <c r="S219" s="27">
        <v>0</v>
      </c>
      <c r="T219" s="27">
        <v>0</v>
      </c>
      <c r="U219" s="27">
        <v>0</v>
      </c>
      <c r="V219" s="27">
        <v>0</v>
      </c>
      <c r="W219" s="27">
        <v>0</v>
      </c>
      <c r="X219" s="27">
        <v>0</v>
      </c>
      <c r="Y219" s="23"/>
      <c r="Z219" s="25"/>
      <c r="AA219" s="25"/>
      <c r="AB219" s="25"/>
      <c r="AC219" s="26"/>
    </row>
    <row r="220" spans="1:29" ht="90.75" customHeight="1" x14ac:dyDescent="0.25">
      <c r="A220" s="15" t="s">
        <v>517</v>
      </c>
      <c r="B220" s="16" t="s">
        <v>518</v>
      </c>
      <c r="C220" s="17"/>
      <c r="D220" s="17"/>
      <c r="E220" s="18">
        <f t="shared" ref="E220:X220" si="75">E221+E223+E225</f>
        <v>1051551</v>
      </c>
      <c r="F220" s="18">
        <f t="shared" si="75"/>
        <v>10691</v>
      </c>
      <c r="G220" s="18">
        <f t="shared" si="75"/>
        <v>0</v>
      </c>
      <c r="H220" s="18">
        <f t="shared" si="75"/>
        <v>0</v>
      </c>
      <c r="I220" s="18">
        <f t="shared" si="75"/>
        <v>0</v>
      </c>
      <c r="J220" s="18">
        <f t="shared" si="75"/>
        <v>6304</v>
      </c>
      <c r="K220" s="18">
        <f t="shared" si="75"/>
        <v>506654</v>
      </c>
      <c r="L220" s="18">
        <f t="shared" si="75"/>
        <v>0</v>
      </c>
      <c r="M220" s="18">
        <f t="shared" si="75"/>
        <v>0</v>
      </c>
      <c r="N220" s="18">
        <f t="shared" si="75"/>
        <v>527902</v>
      </c>
      <c r="O220" s="18">
        <f t="shared" si="75"/>
        <v>523648</v>
      </c>
      <c r="P220" s="18">
        <f t="shared" si="75"/>
        <v>10690.83</v>
      </c>
      <c r="Q220" s="18">
        <f t="shared" si="75"/>
        <v>0</v>
      </c>
      <c r="R220" s="18">
        <f t="shared" si="75"/>
        <v>0</v>
      </c>
      <c r="S220" s="18">
        <f t="shared" si="75"/>
        <v>0</v>
      </c>
      <c r="T220" s="18">
        <f t="shared" si="75"/>
        <v>6303.86</v>
      </c>
      <c r="U220" s="18">
        <f t="shared" si="75"/>
        <v>506653.31</v>
      </c>
      <c r="V220" s="18">
        <f t="shared" si="75"/>
        <v>0</v>
      </c>
      <c r="W220" s="18">
        <f t="shared" si="75"/>
        <v>0</v>
      </c>
      <c r="X220" s="18">
        <f t="shared" si="75"/>
        <v>0</v>
      </c>
      <c r="Y220" s="17"/>
      <c r="Z220" s="19"/>
      <c r="AA220" s="19"/>
      <c r="AB220" s="19"/>
      <c r="AC220" s="20"/>
    </row>
    <row r="221" spans="1:29" ht="54" customHeight="1" x14ac:dyDescent="0.25">
      <c r="A221" s="21" t="s">
        <v>519</v>
      </c>
      <c r="B221" s="22" t="s">
        <v>520</v>
      </c>
      <c r="C221" s="23"/>
      <c r="D221" s="23" t="s">
        <v>191</v>
      </c>
      <c r="E221" s="24">
        <f>SUM(E222:E222)+1051551</f>
        <v>1051551</v>
      </c>
      <c r="F221" s="24">
        <f>SUM(F222:F222)+10691</f>
        <v>10691</v>
      </c>
      <c r="G221" s="24">
        <f>SUM(G222:G222)</f>
        <v>0</v>
      </c>
      <c r="H221" s="24">
        <f>SUM(H222:H222)</f>
        <v>0</v>
      </c>
      <c r="I221" s="24">
        <f>SUM(I222:I222)</f>
        <v>0</v>
      </c>
      <c r="J221" s="24">
        <f>SUM(J222:J222)+6304</f>
        <v>6304</v>
      </c>
      <c r="K221" s="24">
        <f>SUM(K222:K222)+506654</f>
        <v>506654</v>
      </c>
      <c r="L221" s="24">
        <f>SUM(L222:L222)</f>
        <v>0</v>
      </c>
      <c r="M221" s="24">
        <f>SUM(M222:M222)</f>
        <v>0</v>
      </c>
      <c r="N221" s="24">
        <f>SUM(N222:N222)+527902</f>
        <v>527902</v>
      </c>
      <c r="O221" s="24">
        <f>SUM(O222:O222)+523648</f>
        <v>523648</v>
      </c>
      <c r="P221" s="24">
        <f>SUM(P222:P222)+10690.83</f>
        <v>10690.83</v>
      </c>
      <c r="Q221" s="24">
        <f>SUM(Q222:Q222)</f>
        <v>0</v>
      </c>
      <c r="R221" s="24">
        <f>SUM(R222:R222)</f>
        <v>0</v>
      </c>
      <c r="S221" s="24">
        <f>SUM(S222:S222)</f>
        <v>0</v>
      </c>
      <c r="T221" s="24">
        <f>SUM(T222:T222)+6303.86</f>
        <v>6303.86</v>
      </c>
      <c r="U221" s="24">
        <f>SUM(U222:U222)+506653.31</f>
        <v>506653.31</v>
      </c>
      <c r="V221" s="24">
        <f>SUM(V222:V222)</f>
        <v>0</v>
      </c>
      <c r="W221" s="24">
        <f>SUM(W222:W222)</f>
        <v>0</v>
      </c>
      <c r="X221" s="24">
        <f>SUM(X222:X222)</f>
        <v>0</v>
      </c>
      <c r="Y221" s="23" t="s">
        <v>392</v>
      </c>
      <c r="Z221" s="25" t="s">
        <v>34</v>
      </c>
      <c r="AA221" s="25" t="s">
        <v>42</v>
      </c>
      <c r="AB221" s="25" t="s">
        <v>42</v>
      </c>
      <c r="AC221" s="26"/>
    </row>
    <row r="222" spans="1:29" ht="54" customHeight="1" x14ac:dyDescent="0.25">
      <c r="A222" s="21" t="s">
        <v>521</v>
      </c>
      <c r="B222" s="22" t="s">
        <v>522</v>
      </c>
      <c r="C222" s="23"/>
      <c r="D222" s="23" t="s">
        <v>191</v>
      </c>
      <c r="E222" s="27">
        <v>0</v>
      </c>
      <c r="F222" s="27">
        <v>0</v>
      </c>
      <c r="G222" s="27">
        <v>0</v>
      </c>
      <c r="H222" s="27">
        <v>0</v>
      </c>
      <c r="I222" s="27">
        <v>0</v>
      </c>
      <c r="J222" s="27">
        <v>0</v>
      </c>
      <c r="K222" s="27">
        <v>0</v>
      </c>
      <c r="L222" s="27">
        <v>0</v>
      </c>
      <c r="M222" s="27">
        <v>0</v>
      </c>
      <c r="N222" s="27">
        <v>0</v>
      </c>
      <c r="O222" s="27">
        <v>0</v>
      </c>
      <c r="P222" s="27">
        <v>0</v>
      </c>
      <c r="Q222" s="27">
        <v>0</v>
      </c>
      <c r="R222" s="27">
        <v>0</v>
      </c>
      <c r="S222" s="27">
        <v>0</v>
      </c>
      <c r="T222" s="27">
        <v>0</v>
      </c>
      <c r="U222" s="27">
        <v>0</v>
      </c>
      <c r="V222" s="27">
        <v>0</v>
      </c>
      <c r="W222" s="27">
        <v>0</v>
      </c>
      <c r="X222" s="27">
        <v>0</v>
      </c>
      <c r="Y222" s="23"/>
      <c r="Z222" s="25"/>
      <c r="AA222" s="25"/>
      <c r="AB222" s="25"/>
      <c r="AC222" s="26"/>
    </row>
    <row r="223" spans="1:29" ht="64.5" customHeight="1" x14ac:dyDescent="0.25">
      <c r="A223" s="21" t="s">
        <v>523</v>
      </c>
      <c r="B223" s="22" t="s">
        <v>524</v>
      </c>
      <c r="C223" s="23" t="s">
        <v>177</v>
      </c>
      <c r="D223" s="23" t="s">
        <v>191</v>
      </c>
      <c r="E223" s="24">
        <f t="shared" ref="E223:X223" si="76">SUM(E224:E224)</f>
        <v>0</v>
      </c>
      <c r="F223" s="24">
        <f t="shared" si="76"/>
        <v>0</v>
      </c>
      <c r="G223" s="24">
        <f t="shared" si="76"/>
        <v>0</v>
      </c>
      <c r="H223" s="24">
        <f t="shared" si="76"/>
        <v>0</v>
      </c>
      <c r="I223" s="24">
        <f t="shared" si="76"/>
        <v>0</v>
      </c>
      <c r="J223" s="24">
        <f t="shared" si="76"/>
        <v>0</v>
      </c>
      <c r="K223" s="24">
        <f t="shared" si="76"/>
        <v>0</v>
      </c>
      <c r="L223" s="24">
        <f t="shared" si="76"/>
        <v>0</v>
      </c>
      <c r="M223" s="24">
        <f t="shared" si="76"/>
        <v>0</v>
      </c>
      <c r="N223" s="24">
        <f t="shared" si="76"/>
        <v>0</v>
      </c>
      <c r="O223" s="24">
        <f t="shared" si="76"/>
        <v>0</v>
      </c>
      <c r="P223" s="24">
        <f t="shared" si="76"/>
        <v>0</v>
      </c>
      <c r="Q223" s="24">
        <f t="shared" si="76"/>
        <v>0</v>
      </c>
      <c r="R223" s="24">
        <f t="shared" si="76"/>
        <v>0</v>
      </c>
      <c r="S223" s="24">
        <f t="shared" si="76"/>
        <v>0</v>
      </c>
      <c r="T223" s="24">
        <f t="shared" si="76"/>
        <v>0</v>
      </c>
      <c r="U223" s="24">
        <f t="shared" si="76"/>
        <v>0</v>
      </c>
      <c r="V223" s="24">
        <f t="shared" si="76"/>
        <v>0</v>
      </c>
      <c r="W223" s="24">
        <f t="shared" si="76"/>
        <v>0</v>
      </c>
      <c r="X223" s="24">
        <f t="shared" si="76"/>
        <v>0</v>
      </c>
      <c r="Y223" s="23" t="s">
        <v>525</v>
      </c>
      <c r="Z223" s="25" t="s">
        <v>34</v>
      </c>
      <c r="AA223" s="25" t="s">
        <v>48</v>
      </c>
      <c r="AB223" s="25" t="s">
        <v>48</v>
      </c>
      <c r="AC223" s="26" t="s">
        <v>526</v>
      </c>
    </row>
    <row r="224" spans="1:29" ht="54" customHeight="1" x14ac:dyDescent="0.25">
      <c r="A224" s="21" t="s">
        <v>527</v>
      </c>
      <c r="B224" s="22" t="s">
        <v>528</v>
      </c>
      <c r="C224" s="23"/>
      <c r="D224" s="23" t="s">
        <v>191</v>
      </c>
      <c r="E224" s="27">
        <v>0</v>
      </c>
      <c r="F224" s="27">
        <v>0</v>
      </c>
      <c r="G224" s="27">
        <v>0</v>
      </c>
      <c r="H224" s="27">
        <v>0</v>
      </c>
      <c r="I224" s="27">
        <v>0</v>
      </c>
      <c r="J224" s="27">
        <v>0</v>
      </c>
      <c r="K224" s="27">
        <v>0</v>
      </c>
      <c r="L224" s="27">
        <v>0</v>
      </c>
      <c r="M224" s="27">
        <v>0</v>
      </c>
      <c r="N224" s="27">
        <v>0</v>
      </c>
      <c r="O224" s="27">
        <v>0</v>
      </c>
      <c r="P224" s="27">
        <v>0</v>
      </c>
      <c r="Q224" s="27">
        <v>0</v>
      </c>
      <c r="R224" s="27">
        <v>0</v>
      </c>
      <c r="S224" s="27">
        <v>0</v>
      </c>
      <c r="T224" s="27">
        <v>0</v>
      </c>
      <c r="U224" s="27">
        <v>0</v>
      </c>
      <c r="V224" s="27">
        <v>0</v>
      </c>
      <c r="W224" s="27">
        <v>0</v>
      </c>
      <c r="X224" s="27">
        <v>0</v>
      </c>
      <c r="Y224" s="23"/>
      <c r="Z224" s="25"/>
      <c r="AA224" s="25"/>
      <c r="AB224" s="25"/>
      <c r="AC224" s="26"/>
    </row>
    <row r="225" spans="1:29" ht="83.25" customHeight="1" x14ac:dyDescent="0.25">
      <c r="A225" s="21" t="s">
        <v>529</v>
      </c>
      <c r="B225" s="22" t="s">
        <v>530</v>
      </c>
      <c r="C225" s="23" t="s">
        <v>177</v>
      </c>
      <c r="D225" s="23" t="s">
        <v>191</v>
      </c>
      <c r="E225" s="24">
        <f t="shared" ref="E225:X225" si="77">SUM(E226:E226)</f>
        <v>0</v>
      </c>
      <c r="F225" s="24">
        <f t="shared" si="77"/>
        <v>0</v>
      </c>
      <c r="G225" s="24">
        <f t="shared" si="77"/>
        <v>0</v>
      </c>
      <c r="H225" s="24">
        <f t="shared" si="77"/>
        <v>0</v>
      </c>
      <c r="I225" s="24">
        <f t="shared" si="77"/>
        <v>0</v>
      </c>
      <c r="J225" s="24">
        <f t="shared" si="77"/>
        <v>0</v>
      </c>
      <c r="K225" s="24">
        <f t="shared" si="77"/>
        <v>0</v>
      </c>
      <c r="L225" s="24">
        <f t="shared" si="77"/>
        <v>0</v>
      </c>
      <c r="M225" s="24">
        <f t="shared" si="77"/>
        <v>0</v>
      </c>
      <c r="N225" s="24">
        <f t="shared" si="77"/>
        <v>0</v>
      </c>
      <c r="O225" s="24">
        <f t="shared" si="77"/>
        <v>0</v>
      </c>
      <c r="P225" s="24">
        <f t="shared" si="77"/>
        <v>0</v>
      </c>
      <c r="Q225" s="24">
        <f t="shared" si="77"/>
        <v>0</v>
      </c>
      <c r="R225" s="24">
        <f t="shared" si="77"/>
        <v>0</v>
      </c>
      <c r="S225" s="24">
        <f t="shared" si="77"/>
        <v>0</v>
      </c>
      <c r="T225" s="24">
        <f t="shared" si="77"/>
        <v>0</v>
      </c>
      <c r="U225" s="24">
        <f t="shared" si="77"/>
        <v>0</v>
      </c>
      <c r="V225" s="24">
        <f t="shared" si="77"/>
        <v>0</v>
      </c>
      <c r="W225" s="24">
        <f t="shared" si="77"/>
        <v>0</v>
      </c>
      <c r="X225" s="24">
        <f t="shared" si="77"/>
        <v>0</v>
      </c>
      <c r="Y225" s="23" t="s">
        <v>236</v>
      </c>
      <c r="Z225" s="25" t="s">
        <v>34</v>
      </c>
      <c r="AA225" s="25" t="s">
        <v>48</v>
      </c>
      <c r="AB225" s="25" t="s">
        <v>42</v>
      </c>
      <c r="AC225" s="26" t="s">
        <v>531</v>
      </c>
    </row>
    <row r="226" spans="1:29" ht="33.75" customHeight="1" x14ac:dyDescent="0.25">
      <c r="A226" s="21" t="s">
        <v>532</v>
      </c>
      <c r="B226" s="22" t="s">
        <v>239</v>
      </c>
      <c r="C226" s="23"/>
      <c r="D226" s="23" t="s">
        <v>191</v>
      </c>
      <c r="E226" s="27">
        <v>0</v>
      </c>
      <c r="F226" s="27">
        <v>0</v>
      </c>
      <c r="G226" s="27">
        <v>0</v>
      </c>
      <c r="H226" s="27">
        <v>0</v>
      </c>
      <c r="I226" s="27">
        <v>0</v>
      </c>
      <c r="J226" s="27">
        <v>0</v>
      </c>
      <c r="K226" s="27">
        <v>0</v>
      </c>
      <c r="L226" s="27">
        <v>0</v>
      </c>
      <c r="M226" s="27">
        <v>0</v>
      </c>
      <c r="N226" s="27">
        <v>0</v>
      </c>
      <c r="O226" s="27">
        <v>0</v>
      </c>
      <c r="P226" s="27">
        <v>0</v>
      </c>
      <c r="Q226" s="27">
        <v>0</v>
      </c>
      <c r="R226" s="27">
        <v>0</v>
      </c>
      <c r="S226" s="27">
        <v>0</v>
      </c>
      <c r="T226" s="27">
        <v>0</v>
      </c>
      <c r="U226" s="27">
        <v>0</v>
      </c>
      <c r="V226" s="27">
        <v>0</v>
      </c>
      <c r="W226" s="27">
        <v>0</v>
      </c>
      <c r="X226" s="27">
        <v>0</v>
      </c>
      <c r="Y226" s="23"/>
      <c r="Z226" s="25"/>
      <c r="AA226" s="25"/>
      <c r="AB226" s="25"/>
      <c r="AC226" s="26"/>
    </row>
    <row r="227" spans="1:29" ht="46.5" customHeight="1" x14ac:dyDescent="0.25">
      <c r="A227" s="9" t="s">
        <v>533</v>
      </c>
      <c r="B227" s="10" t="s">
        <v>534</v>
      </c>
      <c r="C227" s="11"/>
      <c r="D227" s="11"/>
      <c r="E227" s="12">
        <f t="shared" ref="E227:N228" si="78">SUM(E228:E228)</f>
        <v>85365</v>
      </c>
      <c r="F227" s="12">
        <f t="shared" si="78"/>
        <v>0</v>
      </c>
      <c r="G227" s="12">
        <f t="shared" si="78"/>
        <v>0</v>
      </c>
      <c r="H227" s="12">
        <f t="shared" si="78"/>
        <v>0</v>
      </c>
      <c r="I227" s="12">
        <f t="shared" si="78"/>
        <v>0</v>
      </c>
      <c r="J227" s="12">
        <f t="shared" si="78"/>
        <v>0</v>
      </c>
      <c r="K227" s="12">
        <f t="shared" si="78"/>
        <v>85365</v>
      </c>
      <c r="L227" s="12">
        <f t="shared" si="78"/>
        <v>0</v>
      </c>
      <c r="M227" s="12">
        <f t="shared" si="78"/>
        <v>0</v>
      </c>
      <c r="N227" s="12">
        <f t="shared" si="78"/>
        <v>0</v>
      </c>
      <c r="O227" s="12">
        <f t="shared" ref="O227:X228" si="79">SUM(O228:O228)</f>
        <v>170700.7</v>
      </c>
      <c r="P227" s="12">
        <f t="shared" si="79"/>
        <v>0</v>
      </c>
      <c r="Q227" s="12">
        <f t="shared" si="79"/>
        <v>0</v>
      </c>
      <c r="R227" s="12">
        <f t="shared" si="79"/>
        <v>0</v>
      </c>
      <c r="S227" s="12">
        <f t="shared" si="79"/>
        <v>0</v>
      </c>
      <c r="T227" s="12">
        <f t="shared" si="79"/>
        <v>0</v>
      </c>
      <c r="U227" s="12">
        <f t="shared" si="79"/>
        <v>170700.7</v>
      </c>
      <c r="V227" s="12">
        <f t="shared" si="79"/>
        <v>0</v>
      </c>
      <c r="W227" s="12">
        <f t="shared" si="79"/>
        <v>0</v>
      </c>
      <c r="X227" s="12">
        <f t="shared" si="79"/>
        <v>0</v>
      </c>
      <c r="Y227" s="11"/>
      <c r="Z227" s="13"/>
      <c r="AA227" s="13"/>
      <c r="AB227" s="13"/>
      <c r="AC227" s="14"/>
    </row>
    <row r="228" spans="1:29" ht="60" customHeight="1" x14ac:dyDescent="0.25">
      <c r="A228" s="15" t="s">
        <v>535</v>
      </c>
      <c r="B228" s="16" t="s">
        <v>536</v>
      </c>
      <c r="C228" s="17"/>
      <c r="D228" s="17"/>
      <c r="E228" s="18">
        <f t="shared" si="78"/>
        <v>85365</v>
      </c>
      <c r="F228" s="18">
        <f t="shared" si="78"/>
        <v>0</v>
      </c>
      <c r="G228" s="18">
        <f t="shared" si="78"/>
        <v>0</v>
      </c>
      <c r="H228" s="18">
        <f t="shared" si="78"/>
        <v>0</v>
      </c>
      <c r="I228" s="18">
        <f t="shared" si="78"/>
        <v>0</v>
      </c>
      <c r="J228" s="18">
        <f t="shared" si="78"/>
        <v>0</v>
      </c>
      <c r="K228" s="18">
        <f t="shared" si="78"/>
        <v>85365</v>
      </c>
      <c r="L228" s="18">
        <f t="shared" si="78"/>
        <v>0</v>
      </c>
      <c r="M228" s="18">
        <f t="shared" si="78"/>
        <v>0</v>
      </c>
      <c r="N228" s="18">
        <f t="shared" si="78"/>
        <v>0</v>
      </c>
      <c r="O228" s="18">
        <f t="shared" si="79"/>
        <v>170700.7</v>
      </c>
      <c r="P228" s="18">
        <f t="shared" si="79"/>
        <v>0</v>
      </c>
      <c r="Q228" s="18">
        <f t="shared" si="79"/>
        <v>0</v>
      </c>
      <c r="R228" s="18">
        <f t="shared" si="79"/>
        <v>0</v>
      </c>
      <c r="S228" s="18">
        <f t="shared" si="79"/>
        <v>0</v>
      </c>
      <c r="T228" s="18">
        <f t="shared" si="79"/>
        <v>0</v>
      </c>
      <c r="U228" s="18">
        <f t="shared" si="79"/>
        <v>170700.7</v>
      </c>
      <c r="V228" s="18">
        <f t="shared" si="79"/>
        <v>0</v>
      </c>
      <c r="W228" s="18">
        <f t="shared" si="79"/>
        <v>0</v>
      </c>
      <c r="X228" s="18">
        <f t="shared" si="79"/>
        <v>0</v>
      </c>
      <c r="Y228" s="17"/>
      <c r="Z228" s="19"/>
      <c r="AA228" s="19"/>
      <c r="AB228" s="19"/>
      <c r="AC228" s="20"/>
    </row>
    <row r="229" spans="1:29" ht="74.25" customHeight="1" x14ac:dyDescent="0.25">
      <c r="A229" s="21" t="s">
        <v>537</v>
      </c>
      <c r="B229" s="22" t="s">
        <v>538</v>
      </c>
      <c r="C229" s="23"/>
      <c r="D229" s="23" t="s">
        <v>367</v>
      </c>
      <c r="E229" s="24">
        <f>SUM(E230:E230)+85365</f>
        <v>85365</v>
      </c>
      <c r="F229" s="24">
        <f>SUM(F230:F230)</f>
        <v>0</v>
      </c>
      <c r="G229" s="24">
        <f>SUM(G230:G230)</f>
        <v>0</v>
      </c>
      <c r="H229" s="24">
        <f>SUM(H230:H230)</f>
        <v>0</v>
      </c>
      <c r="I229" s="24">
        <f>SUM(I230:I230)</f>
        <v>0</v>
      </c>
      <c r="J229" s="24">
        <f>SUM(J230:J230)</f>
        <v>0</v>
      </c>
      <c r="K229" s="24">
        <f>SUM(K230:K230)+85365</f>
        <v>85365</v>
      </c>
      <c r="L229" s="24">
        <f>SUM(L230:L230)</f>
        <v>0</v>
      </c>
      <c r="M229" s="24">
        <f>SUM(M230:M230)</f>
        <v>0</v>
      </c>
      <c r="N229" s="24">
        <f>SUM(N230:N230)</f>
        <v>0</v>
      </c>
      <c r="O229" s="24">
        <f>SUM(O230:O230)+170700.7</f>
        <v>170700.7</v>
      </c>
      <c r="P229" s="24">
        <f>SUM(P230:P230)</f>
        <v>0</v>
      </c>
      <c r="Q229" s="24">
        <f>SUM(Q230:Q230)</f>
        <v>0</v>
      </c>
      <c r="R229" s="24">
        <f>SUM(R230:R230)</f>
        <v>0</v>
      </c>
      <c r="S229" s="24">
        <f>SUM(S230:S230)</f>
        <v>0</v>
      </c>
      <c r="T229" s="24">
        <f>SUM(T230:T230)</f>
        <v>0</v>
      </c>
      <c r="U229" s="24">
        <f>SUM(U230:U230)+170700.7</f>
        <v>170700.7</v>
      </c>
      <c r="V229" s="24">
        <f>SUM(V230:V230)</f>
        <v>0</v>
      </c>
      <c r="W229" s="24">
        <f>SUM(W230:W230)</f>
        <v>0</v>
      </c>
      <c r="X229" s="24">
        <f>SUM(X230:X230)</f>
        <v>0</v>
      </c>
      <c r="Y229" s="23" t="s">
        <v>539</v>
      </c>
      <c r="Z229" s="25" t="s">
        <v>34</v>
      </c>
      <c r="AA229" s="25" t="s">
        <v>42</v>
      </c>
      <c r="AB229" s="25" t="s">
        <v>316</v>
      </c>
      <c r="AC229" s="26" t="s">
        <v>540</v>
      </c>
    </row>
    <row r="230" spans="1:29" ht="131.25" customHeight="1" x14ac:dyDescent="0.25">
      <c r="A230" s="21" t="s">
        <v>541</v>
      </c>
      <c r="B230" s="22" t="s">
        <v>542</v>
      </c>
      <c r="C230" s="23"/>
      <c r="D230" s="23" t="s">
        <v>367</v>
      </c>
      <c r="E230" s="27">
        <v>0</v>
      </c>
      <c r="F230" s="27">
        <v>0</v>
      </c>
      <c r="G230" s="27">
        <v>0</v>
      </c>
      <c r="H230" s="27">
        <v>0</v>
      </c>
      <c r="I230" s="27">
        <v>0</v>
      </c>
      <c r="J230" s="27">
        <v>0</v>
      </c>
      <c r="K230" s="27">
        <v>0</v>
      </c>
      <c r="L230" s="27">
        <v>0</v>
      </c>
      <c r="M230" s="27">
        <v>0</v>
      </c>
      <c r="N230" s="27">
        <v>0</v>
      </c>
      <c r="O230" s="27">
        <v>0</v>
      </c>
      <c r="P230" s="27">
        <v>0</v>
      </c>
      <c r="Q230" s="27">
        <v>0</v>
      </c>
      <c r="R230" s="27">
        <v>0</v>
      </c>
      <c r="S230" s="27">
        <v>0</v>
      </c>
      <c r="T230" s="27">
        <v>0</v>
      </c>
      <c r="U230" s="27">
        <v>0</v>
      </c>
      <c r="V230" s="27">
        <v>0</v>
      </c>
      <c r="W230" s="27">
        <v>0</v>
      </c>
      <c r="X230" s="27">
        <v>0</v>
      </c>
      <c r="Y230" s="23"/>
      <c r="Z230" s="25"/>
      <c r="AA230" s="25"/>
      <c r="AB230" s="25"/>
      <c r="AC230" s="26"/>
    </row>
    <row r="231" spans="1:29" ht="56.25" customHeight="1" x14ac:dyDescent="0.25">
      <c r="A231" s="9" t="s">
        <v>543</v>
      </c>
      <c r="B231" s="10" t="s">
        <v>544</v>
      </c>
      <c r="C231" s="11"/>
      <c r="D231" s="11"/>
      <c r="E231" s="12">
        <f t="shared" ref="E231:X231" si="80">E232+E235</f>
        <v>93292</v>
      </c>
      <c r="F231" s="12">
        <f t="shared" si="80"/>
        <v>1531</v>
      </c>
      <c r="G231" s="12">
        <f t="shared" si="80"/>
        <v>0</v>
      </c>
      <c r="H231" s="12">
        <f t="shared" si="80"/>
        <v>0</v>
      </c>
      <c r="I231" s="12">
        <f t="shared" si="80"/>
        <v>0</v>
      </c>
      <c r="J231" s="12">
        <f t="shared" si="80"/>
        <v>0</v>
      </c>
      <c r="K231" s="12">
        <f t="shared" si="80"/>
        <v>91761</v>
      </c>
      <c r="L231" s="12">
        <f t="shared" si="80"/>
        <v>0</v>
      </c>
      <c r="M231" s="12">
        <f t="shared" si="80"/>
        <v>0</v>
      </c>
      <c r="N231" s="12">
        <f t="shared" si="80"/>
        <v>0</v>
      </c>
      <c r="O231" s="12">
        <f t="shared" si="80"/>
        <v>104217.65</v>
      </c>
      <c r="P231" s="12">
        <f t="shared" si="80"/>
        <v>3107.91</v>
      </c>
      <c r="Q231" s="12">
        <f t="shared" si="80"/>
        <v>0</v>
      </c>
      <c r="R231" s="12">
        <f t="shared" si="80"/>
        <v>0</v>
      </c>
      <c r="S231" s="12">
        <f t="shared" si="80"/>
        <v>0</v>
      </c>
      <c r="T231" s="12">
        <f t="shared" si="80"/>
        <v>0</v>
      </c>
      <c r="U231" s="12">
        <f t="shared" si="80"/>
        <v>101109.74</v>
      </c>
      <c r="V231" s="12">
        <f t="shared" si="80"/>
        <v>0</v>
      </c>
      <c r="W231" s="12">
        <f t="shared" si="80"/>
        <v>0</v>
      </c>
      <c r="X231" s="12">
        <f t="shared" si="80"/>
        <v>0</v>
      </c>
      <c r="Y231" s="11"/>
      <c r="Z231" s="13"/>
      <c r="AA231" s="13"/>
      <c r="AB231" s="13"/>
      <c r="AC231" s="14"/>
    </row>
    <row r="232" spans="1:29" ht="50.25" customHeight="1" x14ac:dyDescent="0.25">
      <c r="A232" s="15" t="s">
        <v>545</v>
      </c>
      <c r="B232" s="16" t="s">
        <v>546</v>
      </c>
      <c r="C232" s="17"/>
      <c r="D232" s="17"/>
      <c r="E232" s="18">
        <f t="shared" ref="E232:X232" si="81">SUM(E233:E233)</f>
        <v>81227</v>
      </c>
      <c r="F232" s="18">
        <f t="shared" si="81"/>
        <v>0</v>
      </c>
      <c r="G232" s="18">
        <f t="shared" si="81"/>
        <v>0</v>
      </c>
      <c r="H232" s="18">
        <f t="shared" si="81"/>
        <v>0</v>
      </c>
      <c r="I232" s="18">
        <f t="shared" si="81"/>
        <v>0</v>
      </c>
      <c r="J232" s="18">
        <f t="shared" si="81"/>
        <v>0</v>
      </c>
      <c r="K232" s="18">
        <f t="shared" si="81"/>
        <v>81227</v>
      </c>
      <c r="L232" s="18">
        <f t="shared" si="81"/>
        <v>0</v>
      </c>
      <c r="M232" s="18">
        <f t="shared" si="81"/>
        <v>0</v>
      </c>
      <c r="N232" s="18">
        <f t="shared" si="81"/>
        <v>0</v>
      </c>
      <c r="O232" s="18">
        <f t="shared" si="81"/>
        <v>81227</v>
      </c>
      <c r="P232" s="18">
        <f t="shared" si="81"/>
        <v>0</v>
      </c>
      <c r="Q232" s="18">
        <f t="shared" si="81"/>
        <v>0</v>
      </c>
      <c r="R232" s="18">
        <f t="shared" si="81"/>
        <v>0</v>
      </c>
      <c r="S232" s="18">
        <f t="shared" si="81"/>
        <v>0</v>
      </c>
      <c r="T232" s="18">
        <f t="shared" si="81"/>
        <v>0</v>
      </c>
      <c r="U232" s="18">
        <f t="shared" si="81"/>
        <v>81227</v>
      </c>
      <c r="V232" s="18">
        <f t="shared" si="81"/>
        <v>0</v>
      </c>
      <c r="W232" s="18">
        <f t="shared" si="81"/>
        <v>0</v>
      </c>
      <c r="X232" s="18">
        <f t="shared" si="81"/>
        <v>0</v>
      </c>
      <c r="Y232" s="17"/>
      <c r="Z232" s="19"/>
      <c r="AA232" s="19"/>
      <c r="AB232" s="19"/>
      <c r="AC232" s="20"/>
    </row>
    <row r="233" spans="1:29" ht="74.25" customHeight="1" x14ac:dyDescent="0.25">
      <c r="A233" s="21" t="s">
        <v>547</v>
      </c>
      <c r="B233" s="22" t="s">
        <v>548</v>
      </c>
      <c r="C233" s="23"/>
      <c r="D233" s="23" t="s">
        <v>367</v>
      </c>
      <c r="E233" s="24">
        <f>SUM(E234:E234)+81227</f>
        <v>81227</v>
      </c>
      <c r="F233" s="24">
        <f>SUM(F234:F234)</f>
        <v>0</v>
      </c>
      <c r="G233" s="24">
        <f>SUM(G234:G234)</f>
        <v>0</v>
      </c>
      <c r="H233" s="24">
        <f>SUM(H234:H234)</f>
        <v>0</v>
      </c>
      <c r="I233" s="24">
        <f>SUM(I234:I234)</f>
        <v>0</v>
      </c>
      <c r="J233" s="24">
        <f>SUM(J234:J234)</f>
        <v>0</v>
      </c>
      <c r="K233" s="24">
        <f>SUM(K234:K234)+81227</f>
        <v>81227</v>
      </c>
      <c r="L233" s="24">
        <f>SUM(L234:L234)</f>
        <v>0</v>
      </c>
      <c r="M233" s="24">
        <f>SUM(M234:M234)</f>
        <v>0</v>
      </c>
      <c r="N233" s="24">
        <f>SUM(N234:N234)</f>
        <v>0</v>
      </c>
      <c r="O233" s="24">
        <f>SUM(O234:O234)+81227</f>
        <v>81227</v>
      </c>
      <c r="P233" s="24">
        <f>SUM(P234:P234)</f>
        <v>0</v>
      </c>
      <c r="Q233" s="24">
        <f>SUM(Q234:Q234)</f>
        <v>0</v>
      </c>
      <c r="R233" s="24">
        <f>SUM(R234:R234)</f>
        <v>0</v>
      </c>
      <c r="S233" s="24">
        <f>SUM(S234:S234)</f>
        <v>0</v>
      </c>
      <c r="T233" s="24">
        <f>SUM(T234:T234)</f>
        <v>0</v>
      </c>
      <c r="U233" s="24">
        <f>SUM(U234:U234)+81227</f>
        <v>81227</v>
      </c>
      <c r="V233" s="24">
        <f>SUM(V234:V234)</f>
        <v>0</v>
      </c>
      <c r="W233" s="24">
        <f>SUM(W234:W234)</f>
        <v>0</v>
      </c>
      <c r="X233" s="24">
        <f>SUM(X234:X234)</f>
        <v>0</v>
      </c>
      <c r="Y233" s="23" t="s">
        <v>549</v>
      </c>
      <c r="Z233" s="25" t="s">
        <v>34</v>
      </c>
      <c r="AA233" s="25" t="s">
        <v>42</v>
      </c>
      <c r="AB233" s="25" t="s">
        <v>48</v>
      </c>
      <c r="AC233" s="26" t="s">
        <v>550</v>
      </c>
    </row>
    <row r="234" spans="1:29" ht="50.25" customHeight="1" x14ac:dyDescent="0.25">
      <c r="A234" s="21" t="s">
        <v>551</v>
      </c>
      <c r="B234" s="22" t="s">
        <v>552</v>
      </c>
      <c r="C234" s="23"/>
      <c r="D234" s="23" t="s">
        <v>367</v>
      </c>
      <c r="E234" s="27">
        <v>0</v>
      </c>
      <c r="F234" s="27">
        <v>0</v>
      </c>
      <c r="G234" s="27">
        <v>0</v>
      </c>
      <c r="H234" s="27">
        <v>0</v>
      </c>
      <c r="I234" s="27">
        <v>0</v>
      </c>
      <c r="J234" s="27">
        <v>0</v>
      </c>
      <c r="K234" s="27">
        <v>0</v>
      </c>
      <c r="L234" s="27">
        <v>0</v>
      </c>
      <c r="M234" s="27">
        <v>0</v>
      </c>
      <c r="N234" s="27">
        <v>0</v>
      </c>
      <c r="O234" s="27">
        <v>0</v>
      </c>
      <c r="P234" s="27">
        <v>0</v>
      </c>
      <c r="Q234" s="27">
        <v>0</v>
      </c>
      <c r="R234" s="27">
        <v>0</v>
      </c>
      <c r="S234" s="27">
        <v>0</v>
      </c>
      <c r="T234" s="27">
        <v>0</v>
      </c>
      <c r="U234" s="27">
        <v>0</v>
      </c>
      <c r="V234" s="27">
        <v>0</v>
      </c>
      <c r="W234" s="27">
        <v>0</v>
      </c>
      <c r="X234" s="27">
        <v>0</v>
      </c>
      <c r="Y234" s="23"/>
      <c r="Z234" s="25"/>
      <c r="AA234" s="25"/>
      <c r="AB234" s="25"/>
      <c r="AC234" s="26"/>
    </row>
    <row r="235" spans="1:29" ht="48" customHeight="1" x14ac:dyDescent="0.25">
      <c r="A235" s="15" t="s">
        <v>553</v>
      </c>
      <c r="B235" s="16" t="s">
        <v>554</v>
      </c>
      <c r="C235" s="17"/>
      <c r="D235" s="17"/>
      <c r="E235" s="18">
        <f t="shared" ref="E235:X235" si="82">SUM(E236:E236)</f>
        <v>12065</v>
      </c>
      <c r="F235" s="18">
        <f t="shared" si="82"/>
        <v>1531</v>
      </c>
      <c r="G235" s="18">
        <f t="shared" si="82"/>
        <v>0</v>
      </c>
      <c r="H235" s="18">
        <f t="shared" si="82"/>
        <v>0</v>
      </c>
      <c r="I235" s="18">
        <f t="shared" si="82"/>
        <v>0</v>
      </c>
      <c r="J235" s="18">
        <f t="shared" si="82"/>
        <v>0</v>
      </c>
      <c r="K235" s="18">
        <f t="shared" si="82"/>
        <v>10534</v>
      </c>
      <c r="L235" s="18">
        <f t="shared" si="82"/>
        <v>0</v>
      </c>
      <c r="M235" s="18">
        <f t="shared" si="82"/>
        <v>0</v>
      </c>
      <c r="N235" s="18">
        <f t="shared" si="82"/>
        <v>0</v>
      </c>
      <c r="O235" s="18">
        <f t="shared" si="82"/>
        <v>22990.65</v>
      </c>
      <c r="P235" s="18">
        <f t="shared" si="82"/>
        <v>3107.91</v>
      </c>
      <c r="Q235" s="18">
        <f t="shared" si="82"/>
        <v>0</v>
      </c>
      <c r="R235" s="18">
        <f t="shared" si="82"/>
        <v>0</v>
      </c>
      <c r="S235" s="18">
        <f t="shared" si="82"/>
        <v>0</v>
      </c>
      <c r="T235" s="18">
        <f t="shared" si="82"/>
        <v>0</v>
      </c>
      <c r="U235" s="18">
        <f t="shared" si="82"/>
        <v>19882.740000000002</v>
      </c>
      <c r="V235" s="18">
        <f t="shared" si="82"/>
        <v>0</v>
      </c>
      <c r="W235" s="18">
        <f t="shared" si="82"/>
        <v>0</v>
      </c>
      <c r="X235" s="18">
        <f t="shared" si="82"/>
        <v>0</v>
      </c>
      <c r="Y235" s="17"/>
      <c r="Z235" s="19"/>
      <c r="AA235" s="19"/>
      <c r="AB235" s="19"/>
      <c r="AC235" s="20"/>
    </row>
    <row r="236" spans="1:29" ht="75.75" customHeight="1" x14ac:dyDescent="0.25">
      <c r="A236" s="21" t="s">
        <v>555</v>
      </c>
      <c r="B236" s="22" t="s">
        <v>556</v>
      </c>
      <c r="C236" s="23"/>
      <c r="D236" s="23" t="s">
        <v>367</v>
      </c>
      <c r="E236" s="24">
        <f>SUM(E237:E237)+12065</f>
        <v>12065</v>
      </c>
      <c r="F236" s="24">
        <f>SUM(F237:F237)+1531</f>
        <v>1531</v>
      </c>
      <c r="G236" s="24">
        <f>SUM(G237:G237)</f>
        <v>0</v>
      </c>
      <c r="H236" s="24">
        <f>SUM(H237:H237)</f>
        <v>0</v>
      </c>
      <c r="I236" s="24">
        <f>SUM(I237:I237)</f>
        <v>0</v>
      </c>
      <c r="J236" s="24">
        <f>SUM(J237:J237)</f>
        <v>0</v>
      </c>
      <c r="K236" s="24">
        <f>SUM(K237:K237)+10534</f>
        <v>10534</v>
      </c>
      <c r="L236" s="24">
        <f>SUM(L237:L237)</f>
        <v>0</v>
      </c>
      <c r="M236" s="24">
        <f>SUM(M237:M237)</f>
        <v>0</v>
      </c>
      <c r="N236" s="24">
        <f>SUM(N237:N237)</f>
        <v>0</v>
      </c>
      <c r="O236" s="24">
        <f>SUM(O237:O237)+22990.65</f>
        <v>22990.65</v>
      </c>
      <c r="P236" s="24">
        <f>SUM(P237:P237)+3107.91</f>
        <v>3107.91</v>
      </c>
      <c r="Q236" s="24">
        <f>SUM(Q237:Q237)</f>
        <v>0</v>
      </c>
      <c r="R236" s="24">
        <f>SUM(R237:R237)</f>
        <v>0</v>
      </c>
      <c r="S236" s="24">
        <f>SUM(S237:S237)</f>
        <v>0</v>
      </c>
      <c r="T236" s="24">
        <f>SUM(T237:T237)</f>
        <v>0</v>
      </c>
      <c r="U236" s="24">
        <f>SUM(U237:U237)+19882.74</f>
        <v>19882.740000000002</v>
      </c>
      <c r="V236" s="24">
        <f>SUM(V237:V237)</f>
        <v>0</v>
      </c>
      <c r="W236" s="24">
        <f>SUM(W237:W237)</f>
        <v>0</v>
      </c>
      <c r="X236" s="24">
        <f>SUM(X237:X237)</f>
        <v>0</v>
      </c>
      <c r="Y236" s="23" t="s">
        <v>557</v>
      </c>
      <c r="Z236" s="25" t="s">
        <v>34</v>
      </c>
      <c r="AA236" s="25" t="s">
        <v>42</v>
      </c>
      <c r="AB236" s="25" t="s">
        <v>42</v>
      </c>
      <c r="AC236" s="26" t="s">
        <v>558</v>
      </c>
    </row>
    <row r="237" spans="1:29" ht="142.5" customHeight="1" x14ac:dyDescent="0.25">
      <c r="A237" s="21" t="s">
        <v>559</v>
      </c>
      <c r="B237" s="22" t="s">
        <v>560</v>
      </c>
      <c r="C237" s="23"/>
      <c r="D237" s="23" t="s">
        <v>367</v>
      </c>
      <c r="E237" s="27">
        <v>0</v>
      </c>
      <c r="F237" s="27">
        <v>0</v>
      </c>
      <c r="G237" s="27">
        <v>0</v>
      </c>
      <c r="H237" s="27">
        <v>0</v>
      </c>
      <c r="I237" s="27">
        <v>0</v>
      </c>
      <c r="J237" s="27">
        <v>0</v>
      </c>
      <c r="K237" s="27">
        <v>0</v>
      </c>
      <c r="L237" s="27">
        <v>0</v>
      </c>
      <c r="M237" s="27">
        <v>0</v>
      </c>
      <c r="N237" s="27">
        <v>0</v>
      </c>
      <c r="O237" s="27">
        <v>0</v>
      </c>
      <c r="P237" s="27">
        <v>0</v>
      </c>
      <c r="Q237" s="27">
        <v>0</v>
      </c>
      <c r="R237" s="27">
        <v>0</v>
      </c>
      <c r="S237" s="27">
        <v>0</v>
      </c>
      <c r="T237" s="27">
        <v>0</v>
      </c>
      <c r="U237" s="27">
        <v>0</v>
      </c>
      <c r="V237" s="27">
        <v>0</v>
      </c>
      <c r="W237" s="27">
        <v>0</v>
      </c>
      <c r="X237" s="27">
        <v>0</v>
      </c>
      <c r="Y237" s="23"/>
      <c r="Z237" s="25"/>
      <c r="AA237" s="25"/>
      <c r="AB237" s="25"/>
      <c r="AC237" s="26"/>
    </row>
    <row r="238" spans="1:29" ht="54" customHeight="1" x14ac:dyDescent="0.25">
      <c r="A238" s="9" t="s">
        <v>561</v>
      </c>
      <c r="B238" s="10" t="s">
        <v>562</v>
      </c>
      <c r="C238" s="11"/>
      <c r="D238" s="11"/>
      <c r="E238" s="12">
        <f t="shared" ref="E238:N239" si="83">SUM(E239:E239)</f>
        <v>158</v>
      </c>
      <c r="F238" s="12">
        <f t="shared" si="83"/>
        <v>158</v>
      </c>
      <c r="G238" s="12">
        <f t="shared" si="83"/>
        <v>0</v>
      </c>
      <c r="H238" s="12">
        <f t="shared" si="83"/>
        <v>0</v>
      </c>
      <c r="I238" s="12">
        <f t="shared" si="83"/>
        <v>0</v>
      </c>
      <c r="J238" s="12">
        <f t="shared" si="83"/>
        <v>0</v>
      </c>
      <c r="K238" s="12">
        <f t="shared" si="83"/>
        <v>0</v>
      </c>
      <c r="L238" s="12">
        <f t="shared" si="83"/>
        <v>0</v>
      </c>
      <c r="M238" s="12">
        <f t="shared" si="83"/>
        <v>0</v>
      </c>
      <c r="N238" s="12">
        <f t="shared" si="83"/>
        <v>0</v>
      </c>
      <c r="O238" s="12">
        <f t="shared" ref="O238:X239" si="84">SUM(O239:O239)</f>
        <v>157.30000000000001</v>
      </c>
      <c r="P238" s="12">
        <f t="shared" si="84"/>
        <v>157.30000000000001</v>
      </c>
      <c r="Q238" s="12">
        <f t="shared" si="84"/>
        <v>0</v>
      </c>
      <c r="R238" s="12">
        <f t="shared" si="84"/>
        <v>0</v>
      </c>
      <c r="S238" s="12">
        <f t="shared" si="84"/>
        <v>0</v>
      </c>
      <c r="T238" s="12">
        <f t="shared" si="84"/>
        <v>0</v>
      </c>
      <c r="U238" s="12">
        <f t="shared" si="84"/>
        <v>0</v>
      </c>
      <c r="V238" s="12">
        <f t="shared" si="84"/>
        <v>0</v>
      </c>
      <c r="W238" s="12">
        <f t="shared" si="84"/>
        <v>0</v>
      </c>
      <c r="X238" s="12">
        <f t="shared" si="84"/>
        <v>0</v>
      </c>
      <c r="Y238" s="11"/>
      <c r="Z238" s="13"/>
      <c r="AA238" s="13"/>
      <c r="AB238" s="13"/>
      <c r="AC238" s="14"/>
    </row>
    <row r="239" spans="1:29" ht="54" customHeight="1" x14ac:dyDescent="0.25">
      <c r="A239" s="15" t="s">
        <v>563</v>
      </c>
      <c r="B239" s="16" t="s">
        <v>564</v>
      </c>
      <c r="C239" s="17"/>
      <c r="D239" s="17"/>
      <c r="E239" s="18">
        <f t="shared" si="83"/>
        <v>158</v>
      </c>
      <c r="F239" s="18">
        <f t="shared" si="83"/>
        <v>158</v>
      </c>
      <c r="G239" s="18">
        <f t="shared" si="83"/>
        <v>0</v>
      </c>
      <c r="H239" s="18">
        <f t="shared" si="83"/>
        <v>0</v>
      </c>
      <c r="I239" s="18">
        <f t="shared" si="83"/>
        <v>0</v>
      </c>
      <c r="J239" s="18">
        <f t="shared" si="83"/>
        <v>0</v>
      </c>
      <c r="K239" s="18">
        <f t="shared" si="83"/>
        <v>0</v>
      </c>
      <c r="L239" s="18">
        <f t="shared" si="83"/>
        <v>0</v>
      </c>
      <c r="M239" s="18">
        <f t="shared" si="83"/>
        <v>0</v>
      </c>
      <c r="N239" s="18">
        <f t="shared" si="83"/>
        <v>0</v>
      </c>
      <c r="O239" s="18">
        <f t="shared" si="84"/>
        <v>157.30000000000001</v>
      </c>
      <c r="P239" s="18">
        <f t="shared" si="84"/>
        <v>157.30000000000001</v>
      </c>
      <c r="Q239" s="18">
        <f t="shared" si="84"/>
        <v>0</v>
      </c>
      <c r="R239" s="18">
        <f t="shared" si="84"/>
        <v>0</v>
      </c>
      <c r="S239" s="18">
        <f t="shared" si="84"/>
        <v>0</v>
      </c>
      <c r="T239" s="18">
        <f t="shared" si="84"/>
        <v>0</v>
      </c>
      <c r="U239" s="18">
        <f t="shared" si="84"/>
        <v>0</v>
      </c>
      <c r="V239" s="18">
        <f t="shared" si="84"/>
        <v>0</v>
      </c>
      <c r="W239" s="18">
        <f t="shared" si="84"/>
        <v>0</v>
      </c>
      <c r="X239" s="18">
        <f t="shared" si="84"/>
        <v>0</v>
      </c>
      <c r="Y239" s="17"/>
      <c r="Z239" s="19"/>
      <c r="AA239" s="19"/>
      <c r="AB239" s="19"/>
      <c r="AC239" s="20"/>
    </row>
    <row r="240" spans="1:29" ht="57.75" customHeight="1" x14ac:dyDescent="0.25">
      <c r="A240" s="21" t="s">
        <v>565</v>
      </c>
      <c r="B240" s="22" t="s">
        <v>566</v>
      </c>
      <c r="C240" s="23" t="s">
        <v>177</v>
      </c>
      <c r="D240" s="23" t="s">
        <v>567</v>
      </c>
      <c r="E240" s="24">
        <f>SUM(E241:E241)+158</f>
        <v>158</v>
      </c>
      <c r="F240" s="24">
        <f>SUM(F241:F241)+158</f>
        <v>158</v>
      </c>
      <c r="G240" s="24">
        <f t="shared" ref="G240:N240" si="85">SUM(G241:G241)</f>
        <v>0</v>
      </c>
      <c r="H240" s="24">
        <f t="shared" si="85"/>
        <v>0</v>
      </c>
      <c r="I240" s="24">
        <f t="shared" si="85"/>
        <v>0</v>
      </c>
      <c r="J240" s="24">
        <f t="shared" si="85"/>
        <v>0</v>
      </c>
      <c r="K240" s="24">
        <f t="shared" si="85"/>
        <v>0</v>
      </c>
      <c r="L240" s="24">
        <f t="shared" si="85"/>
        <v>0</v>
      </c>
      <c r="M240" s="24">
        <f t="shared" si="85"/>
        <v>0</v>
      </c>
      <c r="N240" s="24">
        <f t="shared" si="85"/>
        <v>0</v>
      </c>
      <c r="O240" s="24">
        <f>SUM(O241:O241)+157.3</f>
        <v>157.30000000000001</v>
      </c>
      <c r="P240" s="24">
        <f>SUM(P241:P241)+157.3</f>
        <v>157.30000000000001</v>
      </c>
      <c r="Q240" s="24">
        <f t="shared" ref="Q240:X240" si="86">SUM(Q241:Q241)</f>
        <v>0</v>
      </c>
      <c r="R240" s="24">
        <f t="shared" si="86"/>
        <v>0</v>
      </c>
      <c r="S240" s="24">
        <f t="shared" si="86"/>
        <v>0</v>
      </c>
      <c r="T240" s="24">
        <f t="shared" si="86"/>
        <v>0</v>
      </c>
      <c r="U240" s="24">
        <f t="shared" si="86"/>
        <v>0</v>
      </c>
      <c r="V240" s="24">
        <f t="shared" si="86"/>
        <v>0</v>
      </c>
      <c r="W240" s="24">
        <f t="shared" si="86"/>
        <v>0</v>
      </c>
      <c r="X240" s="24">
        <f t="shared" si="86"/>
        <v>0</v>
      </c>
      <c r="Y240" s="23" t="s">
        <v>568</v>
      </c>
      <c r="Z240" s="25" t="s">
        <v>34</v>
      </c>
      <c r="AA240" s="25" t="s">
        <v>42</v>
      </c>
      <c r="AB240" s="25" t="s">
        <v>42</v>
      </c>
      <c r="AC240" s="26"/>
    </row>
    <row r="241" spans="1:29" ht="50.25" customHeight="1" x14ac:dyDescent="0.25">
      <c r="A241" s="21" t="s">
        <v>569</v>
      </c>
      <c r="B241" s="22" t="s">
        <v>570</v>
      </c>
      <c r="C241" s="23"/>
      <c r="D241" s="23" t="s">
        <v>567</v>
      </c>
      <c r="E241" s="27">
        <v>0</v>
      </c>
      <c r="F241" s="27">
        <v>0</v>
      </c>
      <c r="G241" s="27">
        <v>0</v>
      </c>
      <c r="H241" s="27">
        <v>0</v>
      </c>
      <c r="I241" s="27">
        <v>0</v>
      </c>
      <c r="J241" s="27">
        <v>0</v>
      </c>
      <c r="K241" s="27">
        <v>0</v>
      </c>
      <c r="L241" s="27">
        <v>0</v>
      </c>
      <c r="M241" s="27">
        <v>0</v>
      </c>
      <c r="N241" s="27">
        <v>0</v>
      </c>
      <c r="O241" s="27">
        <v>0</v>
      </c>
      <c r="P241" s="27">
        <v>0</v>
      </c>
      <c r="Q241" s="27">
        <v>0</v>
      </c>
      <c r="R241" s="27">
        <v>0</v>
      </c>
      <c r="S241" s="27">
        <v>0</v>
      </c>
      <c r="T241" s="27">
        <v>0</v>
      </c>
      <c r="U241" s="27">
        <v>0</v>
      </c>
      <c r="V241" s="27">
        <v>0</v>
      </c>
      <c r="W241" s="27">
        <v>0</v>
      </c>
      <c r="X241" s="27">
        <v>0</v>
      </c>
      <c r="Y241" s="23"/>
      <c r="Z241" s="25"/>
      <c r="AA241" s="25"/>
      <c r="AB241" s="25"/>
      <c r="AC241" s="26"/>
    </row>
    <row r="242" spans="1:29" ht="74.25" customHeight="1" x14ac:dyDescent="0.25">
      <c r="A242" s="9" t="s">
        <v>571</v>
      </c>
      <c r="B242" s="10" t="s">
        <v>572</v>
      </c>
      <c r="C242" s="11"/>
      <c r="D242" s="11"/>
      <c r="E242" s="12">
        <f t="shared" ref="E242:X242" si="87">SUM(E243:E243)</f>
        <v>28408</v>
      </c>
      <c r="F242" s="12">
        <f t="shared" si="87"/>
        <v>16308</v>
      </c>
      <c r="G242" s="12">
        <f t="shared" si="87"/>
        <v>0</v>
      </c>
      <c r="H242" s="12">
        <f t="shared" si="87"/>
        <v>0</v>
      </c>
      <c r="I242" s="12">
        <f t="shared" si="87"/>
        <v>0</v>
      </c>
      <c r="J242" s="12">
        <f t="shared" si="87"/>
        <v>0</v>
      </c>
      <c r="K242" s="12">
        <f t="shared" si="87"/>
        <v>0</v>
      </c>
      <c r="L242" s="12">
        <f t="shared" si="87"/>
        <v>12100</v>
      </c>
      <c r="M242" s="12">
        <f t="shared" si="87"/>
        <v>0</v>
      </c>
      <c r="N242" s="12">
        <f t="shared" si="87"/>
        <v>0</v>
      </c>
      <c r="O242" s="12">
        <f t="shared" si="87"/>
        <v>29791.49</v>
      </c>
      <c r="P242" s="12">
        <f t="shared" si="87"/>
        <v>15325</v>
      </c>
      <c r="Q242" s="12">
        <f t="shared" si="87"/>
        <v>0</v>
      </c>
      <c r="R242" s="12">
        <f t="shared" si="87"/>
        <v>0</v>
      </c>
      <c r="S242" s="12">
        <f t="shared" si="87"/>
        <v>0</v>
      </c>
      <c r="T242" s="12">
        <f t="shared" si="87"/>
        <v>0</v>
      </c>
      <c r="U242" s="12">
        <f t="shared" si="87"/>
        <v>2257.4899999999998</v>
      </c>
      <c r="V242" s="12">
        <f t="shared" si="87"/>
        <v>12209</v>
      </c>
      <c r="W242" s="12">
        <f t="shared" si="87"/>
        <v>0</v>
      </c>
      <c r="X242" s="12">
        <f t="shared" si="87"/>
        <v>0</v>
      </c>
      <c r="Y242" s="11"/>
      <c r="Z242" s="13"/>
      <c r="AA242" s="13"/>
      <c r="AB242" s="13"/>
      <c r="AC242" s="14"/>
    </row>
    <row r="243" spans="1:29" ht="72" customHeight="1" x14ac:dyDescent="0.25">
      <c r="A243" s="15" t="s">
        <v>573</v>
      </c>
      <c r="B243" s="16" t="s">
        <v>574</v>
      </c>
      <c r="C243" s="17"/>
      <c r="D243" s="17"/>
      <c r="E243" s="18">
        <f t="shared" ref="E243:X243" si="88">E244+E248+E252+E256+E258+E260</f>
        <v>28408</v>
      </c>
      <c r="F243" s="18">
        <f t="shared" si="88"/>
        <v>16308</v>
      </c>
      <c r="G243" s="18">
        <f t="shared" si="88"/>
        <v>0</v>
      </c>
      <c r="H243" s="18">
        <f t="shared" si="88"/>
        <v>0</v>
      </c>
      <c r="I243" s="18">
        <f t="shared" si="88"/>
        <v>0</v>
      </c>
      <c r="J243" s="18">
        <f t="shared" si="88"/>
        <v>0</v>
      </c>
      <c r="K243" s="18">
        <f t="shared" si="88"/>
        <v>0</v>
      </c>
      <c r="L243" s="18">
        <f t="shared" si="88"/>
        <v>12100</v>
      </c>
      <c r="M243" s="18">
        <f t="shared" si="88"/>
        <v>0</v>
      </c>
      <c r="N243" s="18">
        <f t="shared" si="88"/>
        <v>0</v>
      </c>
      <c r="O243" s="18">
        <f t="shared" si="88"/>
        <v>29791.49</v>
      </c>
      <c r="P243" s="18">
        <f t="shared" si="88"/>
        <v>15325</v>
      </c>
      <c r="Q243" s="18">
        <f t="shared" si="88"/>
        <v>0</v>
      </c>
      <c r="R243" s="18">
        <f t="shared" si="88"/>
        <v>0</v>
      </c>
      <c r="S243" s="18">
        <f t="shared" si="88"/>
        <v>0</v>
      </c>
      <c r="T243" s="18">
        <f t="shared" si="88"/>
        <v>0</v>
      </c>
      <c r="U243" s="18">
        <f t="shared" si="88"/>
        <v>2257.4899999999998</v>
      </c>
      <c r="V243" s="18">
        <f t="shared" si="88"/>
        <v>12209</v>
      </c>
      <c r="W243" s="18">
        <f t="shared" si="88"/>
        <v>0</v>
      </c>
      <c r="X243" s="18">
        <f t="shared" si="88"/>
        <v>0</v>
      </c>
      <c r="Y243" s="17"/>
      <c r="Z243" s="19"/>
      <c r="AA243" s="19"/>
      <c r="AB243" s="19"/>
      <c r="AC243" s="20"/>
    </row>
    <row r="244" spans="1:29" ht="183.75" customHeight="1" x14ac:dyDescent="0.25">
      <c r="A244" s="21" t="s">
        <v>575</v>
      </c>
      <c r="B244" s="22" t="s">
        <v>576</v>
      </c>
      <c r="C244" s="23" t="s">
        <v>177</v>
      </c>
      <c r="D244" s="23" t="s">
        <v>191</v>
      </c>
      <c r="E244" s="24">
        <f>SUM(E245:E247)+461</f>
        <v>461</v>
      </c>
      <c r="F244" s="24">
        <f>SUM(F245:F247)+461</f>
        <v>461</v>
      </c>
      <c r="G244" s="24">
        <f t="shared" ref="G244:N244" si="89">SUM(G245:G247)</f>
        <v>0</v>
      </c>
      <c r="H244" s="24">
        <f t="shared" si="89"/>
        <v>0</v>
      </c>
      <c r="I244" s="24">
        <f t="shared" si="89"/>
        <v>0</v>
      </c>
      <c r="J244" s="24">
        <f t="shared" si="89"/>
        <v>0</v>
      </c>
      <c r="K244" s="24">
        <f t="shared" si="89"/>
        <v>0</v>
      </c>
      <c r="L244" s="24">
        <f t="shared" si="89"/>
        <v>0</v>
      </c>
      <c r="M244" s="24">
        <f t="shared" si="89"/>
        <v>0</v>
      </c>
      <c r="N244" s="24">
        <f t="shared" si="89"/>
        <v>0</v>
      </c>
      <c r="O244" s="24">
        <f>SUM(O245:O247)+459.3</f>
        <v>459.3</v>
      </c>
      <c r="P244" s="24">
        <f>SUM(P245:P247)+459.3</f>
        <v>459.3</v>
      </c>
      <c r="Q244" s="24">
        <f t="shared" ref="Q244:X244" si="90">SUM(Q245:Q247)</f>
        <v>0</v>
      </c>
      <c r="R244" s="24">
        <f t="shared" si="90"/>
        <v>0</v>
      </c>
      <c r="S244" s="24">
        <f t="shared" si="90"/>
        <v>0</v>
      </c>
      <c r="T244" s="24">
        <f t="shared" si="90"/>
        <v>0</v>
      </c>
      <c r="U244" s="24">
        <f t="shared" si="90"/>
        <v>0</v>
      </c>
      <c r="V244" s="24">
        <f t="shared" si="90"/>
        <v>0</v>
      </c>
      <c r="W244" s="24">
        <f t="shared" si="90"/>
        <v>0</v>
      </c>
      <c r="X244" s="24">
        <f t="shared" si="90"/>
        <v>0</v>
      </c>
      <c r="Y244" s="23" t="s">
        <v>577</v>
      </c>
      <c r="Z244" s="25" t="s">
        <v>34</v>
      </c>
      <c r="AA244" s="25" t="s">
        <v>42</v>
      </c>
      <c r="AB244" s="25" t="s">
        <v>42</v>
      </c>
      <c r="AC244" s="26" t="s">
        <v>578</v>
      </c>
    </row>
    <row r="245" spans="1:29" ht="141.75" x14ac:dyDescent="0.25">
      <c r="A245" s="28"/>
      <c r="B245" s="29"/>
      <c r="C245" s="30"/>
      <c r="D245" s="30"/>
      <c r="E245" s="31">
        <v>0</v>
      </c>
      <c r="F245" s="31">
        <v>0</v>
      </c>
      <c r="G245" s="31">
        <v>0</v>
      </c>
      <c r="H245" s="31">
        <v>0</v>
      </c>
      <c r="I245" s="31">
        <v>0</v>
      </c>
      <c r="J245" s="31">
        <v>0</v>
      </c>
      <c r="K245" s="31">
        <v>0</v>
      </c>
      <c r="L245" s="31">
        <v>0</v>
      </c>
      <c r="M245" s="31">
        <v>0</v>
      </c>
      <c r="N245" s="31">
        <v>0</v>
      </c>
      <c r="O245" s="31">
        <v>0</v>
      </c>
      <c r="P245" s="31">
        <v>0</v>
      </c>
      <c r="Q245" s="31">
        <v>0</v>
      </c>
      <c r="R245" s="31">
        <v>0</v>
      </c>
      <c r="S245" s="31">
        <v>0</v>
      </c>
      <c r="T245" s="31">
        <v>0</v>
      </c>
      <c r="U245" s="31">
        <v>0</v>
      </c>
      <c r="V245" s="31">
        <v>0</v>
      </c>
      <c r="W245" s="31">
        <v>0</v>
      </c>
      <c r="X245" s="31">
        <v>0</v>
      </c>
      <c r="Y245" s="30" t="s">
        <v>192</v>
      </c>
      <c r="Z245" s="32" t="s">
        <v>34</v>
      </c>
      <c r="AA245" s="32" t="s">
        <v>42</v>
      </c>
      <c r="AB245" s="32" t="s">
        <v>42</v>
      </c>
      <c r="AC245" s="33" t="s">
        <v>578</v>
      </c>
    </row>
    <row r="246" spans="1:29" ht="66.75" customHeight="1" x14ac:dyDescent="0.25">
      <c r="A246" s="21" t="s">
        <v>579</v>
      </c>
      <c r="B246" s="22" t="s">
        <v>580</v>
      </c>
      <c r="C246" s="23"/>
      <c r="D246" s="23" t="s">
        <v>191</v>
      </c>
      <c r="E246" s="27">
        <v>0</v>
      </c>
      <c r="F246" s="27">
        <v>0</v>
      </c>
      <c r="G246" s="27">
        <v>0</v>
      </c>
      <c r="H246" s="27">
        <v>0</v>
      </c>
      <c r="I246" s="27">
        <v>0</v>
      </c>
      <c r="J246" s="27">
        <v>0</v>
      </c>
      <c r="K246" s="27">
        <v>0</v>
      </c>
      <c r="L246" s="27">
        <v>0</v>
      </c>
      <c r="M246" s="27">
        <v>0</v>
      </c>
      <c r="N246" s="27">
        <v>0</v>
      </c>
      <c r="O246" s="27">
        <v>0</v>
      </c>
      <c r="P246" s="27">
        <v>0</v>
      </c>
      <c r="Q246" s="27">
        <v>0</v>
      </c>
      <c r="R246" s="27">
        <v>0</v>
      </c>
      <c r="S246" s="27">
        <v>0</v>
      </c>
      <c r="T246" s="27">
        <v>0</v>
      </c>
      <c r="U246" s="27">
        <v>0</v>
      </c>
      <c r="V246" s="27">
        <v>0</v>
      </c>
      <c r="W246" s="27">
        <v>0</v>
      </c>
      <c r="X246" s="27">
        <v>0</v>
      </c>
      <c r="Y246" s="23"/>
      <c r="Z246" s="25"/>
      <c r="AA246" s="25"/>
      <c r="AB246" s="25"/>
      <c r="AC246" s="26"/>
    </row>
    <row r="247" spans="1:29" ht="103.5" customHeight="1" x14ac:dyDescent="0.25">
      <c r="A247" s="21" t="s">
        <v>581</v>
      </c>
      <c r="B247" s="22" t="s">
        <v>582</v>
      </c>
      <c r="C247" s="23"/>
      <c r="D247" s="23" t="s">
        <v>191</v>
      </c>
      <c r="E247" s="27">
        <v>0</v>
      </c>
      <c r="F247" s="27">
        <v>0</v>
      </c>
      <c r="G247" s="27">
        <v>0</v>
      </c>
      <c r="H247" s="27">
        <v>0</v>
      </c>
      <c r="I247" s="27">
        <v>0</v>
      </c>
      <c r="J247" s="27">
        <v>0</v>
      </c>
      <c r="K247" s="27">
        <v>0</v>
      </c>
      <c r="L247" s="27">
        <v>0</v>
      </c>
      <c r="M247" s="27">
        <v>0</v>
      </c>
      <c r="N247" s="27">
        <v>0</v>
      </c>
      <c r="O247" s="27">
        <v>0</v>
      </c>
      <c r="P247" s="27">
        <v>0</v>
      </c>
      <c r="Q247" s="27">
        <v>0</v>
      </c>
      <c r="R247" s="27">
        <v>0</v>
      </c>
      <c r="S247" s="27">
        <v>0</v>
      </c>
      <c r="T247" s="27">
        <v>0</v>
      </c>
      <c r="U247" s="27">
        <v>0</v>
      </c>
      <c r="V247" s="27">
        <v>0</v>
      </c>
      <c r="W247" s="27">
        <v>0</v>
      </c>
      <c r="X247" s="27">
        <v>0</v>
      </c>
      <c r="Y247" s="23"/>
      <c r="Z247" s="25"/>
      <c r="AA247" s="25"/>
      <c r="AB247" s="25"/>
      <c r="AC247" s="26"/>
    </row>
    <row r="248" spans="1:29" ht="40.5" x14ac:dyDescent="0.25">
      <c r="A248" s="21" t="s">
        <v>583</v>
      </c>
      <c r="B248" s="22" t="s">
        <v>584</v>
      </c>
      <c r="C248" s="23" t="s">
        <v>177</v>
      </c>
      <c r="D248" s="23" t="s">
        <v>197</v>
      </c>
      <c r="E248" s="24">
        <f>SUM(E249:E251)+267</f>
        <v>267</v>
      </c>
      <c r="F248" s="24">
        <f>SUM(F249:F251)+267</f>
        <v>267</v>
      </c>
      <c r="G248" s="24">
        <f t="shared" ref="G248:N248" si="91">SUM(G249:G251)</f>
        <v>0</v>
      </c>
      <c r="H248" s="24">
        <f t="shared" si="91"/>
        <v>0</v>
      </c>
      <c r="I248" s="24">
        <f t="shared" si="91"/>
        <v>0</v>
      </c>
      <c r="J248" s="24">
        <f t="shared" si="91"/>
        <v>0</v>
      </c>
      <c r="K248" s="24">
        <f t="shared" si="91"/>
        <v>0</v>
      </c>
      <c r="L248" s="24">
        <f t="shared" si="91"/>
        <v>0</v>
      </c>
      <c r="M248" s="24">
        <f t="shared" si="91"/>
        <v>0</v>
      </c>
      <c r="N248" s="24">
        <f t="shared" si="91"/>
        <v>0</v>
      </c>
      <c r="O248" s="24">
        <f>SUM(O249:O251)+290.4</f>
        <v>290.39999999999998</v>
      </c>
      <c r="P248" s="24">
        <f>SUM(P249:P251)+290.4</f>
        <v>290.39999999999998</v>
      </c>
      <c r="Q248" s="24">
        <f t="shared" ref="Q248:X248" si="92">SUM(Q249:Q251)</f>
        <v>0</v>
      </c>
      <c r="R248" s="24">
        <f t="shared" si="92"/>
        <v>0</v>
      </c>
      <c r="S248" s="24">
        <f t="shared" si="92"/>
        <v>0</v>
      </c>
      <c r="T248" s="24">
        <f t="shared" si="92"/>
        <v>0</v>
      </c>
      <c r="U248" s="24">
        <f t="shared" si="92"/>
        <v>0</v>
      </c>
      <c r="V248" s="24">
        <f t="shared" si="92"/>
        <v>0</v>
      </c>
      <c r="W248" s="24">
        <f t="shared" si="92"/>
        <v>0</v>
      </c>
      <c r="X248" s="24">
        <f t="shared" si="92"/>
        <v>0</v>
      </c>
      <c r="Y248" s="23" t="s">
        <v>577</v>
      </c>
      <c r="Z248" s="25" t="s">
        <v>34</v>
      </c>
      <c r="AA248" s="25" t="s">
        <v>42</v>
      </c>
      <c r="AB248" s="25" t="s">
        <v>48</v>
      </c>
      <c r="AC248" s="26"/>
    </row>
    <row r="249" spans="1:29" ht="40.5" x14ac:dyDescent="0.25">
      <c r="A249" s="28"/>
      <c r="B249" s="29"/>
      <c r="C249" s="30"/>
      <c r="D249" s="30"/>
      <c r="E249" s="31">
        <v>0</v>
      </c>
      <c r="F249" s="31">
        <v>0</v>
      </c>
      <c r="G249" s="31">
        <v>0</v>
      </c>
      <c r="H249" s="31">
        <v>0</v>
      </c>
      <c r="I249" s="31">
        <v>0</v>
      </c>
      <c r="J249" s="31">
        <v>0</v>
      </c>
      <c r="K249" s="31">
        <v>0</v>
      </c>
      <c r="L249" s="31">
        <v>0</v>
      </c>
      <c r="M249" s="31">
        <v>0</v>
      </c>
      <c r="N249" s="31">
        <v>0</v>
      </c>
      <c r="O249" s="31">
        <v>0</v>
      </c>
      <c r="P249" s="31">
        <v>0</v>
      </c>
      <c r="Q249" s="31">
        <v>0</v>
      </c>
      <c r="R249" s="31">
        <v>0</v>
      </c>
      <c r="S249" s="31">
        <v>0</v>
      </c>
      <c r="T249" s="31">
        <v>0</v>
      </c>
      <c r="U249" s="31">
        <v>0</v>
      </c>
      <c r="V249" s="31">
        <v>0</v>
      </c>
      <c r="W249" s="31">
        <v>0</v>
      </c>
      <c r="X249" s="31">
        <v>0</v>
      </c>
      <c r="Y249" s="30" t="s">
        <v>192</v>
      </c>
      <c r="Z249" s="32" t="s">
        <v>34</v>
      </c>
      <c r="AA249" s="32" t="s">
        <v>42</v>
      </c>
      <c r="AB249" s="32" t="s">
        <v>48</v>
      </c>
      <c r="AC249" s="33" t="s">
        <v>585</v>
      </c>
    </row>
    <row r="250" spans="1:29" ht="74.25" customHeight="1" x14ac:dyDescent="0.25">
      <c r="A250" s="21" t="s">
        <v>586</v>
      </c>
      <c r="B250" s="22" t="s">
        <v>587</v>
      </c>
      <c r="C250" s="23"/>
      <c r="D250" s="23" t="s">
        <v>197</v>
      </c>
      <c r="E250" s="27">
        <v>0</v>
      </c>
      <c r="F250" s="27">
        <v>0</v>
      </c>
      <c r="G250" s="27">
        <v>0</v>
      </c>
      <c r="H250" s="27">
        <v>0</v>
      </c>
      <c r="I250" s="27">
        <v>0</v>
      </c>
      <c r="J250" s="27">
        <v>0</v>
      </c>
      <c r="K250" s="27">
        <v>0</v>
      </c>
      <c r="L250" s="27">
        <v>0</v>
      </c>
      <c r="M250" s="27">
        <v>0</v>
      </c>
      <c r="N250" s="27">
        <v>0</v>
      </c>
      <c r="O250" s="27">
        <v>0</v>
      </c>
      <c r="P250" s="27">
        <v>0</v>
      </c>
      <c r="Q250" s="27">
        <v>0</v>
      </c>
      <c r="R250" s="27">
        <v>0</v>
      </c>
      <c r="S250" s="27">
        <v>0</v>
      </c>
      <c r="T250" s="27">
        <v>0</v>
      </c>
      <c r="U250" s="27">
        <v>0</v>
      </c>
      <c r="V250" s="27">
        <v>0</v>
      </c>
      <c r="W250" s="27">
        <v>0</v>
      </c>
      <c r="X250" s="27">
        <v>0</v>
      </c>
      <c r="Y250" s="23"/>
      <c r="Z250" s="25"/>
      <c r="AA250" s="25"/>
      <c r="AB250" s="25"/>
      <c r="AC250" s="26"/>
    </row>
    <row r="251" spans="1:29" ht="64.5" customHeight="1" x14ac:dyDescent="0.25">
      <c r="A251" s="21" t="s">
        <v>588</v>
      </c>
      <c r="B251" s="22" t="s">
        <v>589</v>
      </c>
      <c r="C251" s="23"/>
      <c r="D251" s="23" t="s">
        <v>197</v>
      </c>
      <c r="E251" s="27">
        <v>0</v>
      </c>
      <c r="F251" s="27">
        <v>0</v>
      </c>
      <c r="G251" s="27">
        <v>0</v>
      </c>
      <c r="H251" s="27">
        <v>0</v>
      </c>
      <c r="I251" s="27">
        <v>0</v>
      </c>
      <c r="J251" s="27">
        <v>0</v>
      </c>
      <c r="K251" s="27">
        <v>0</v>
      </c>
      <c r="L251" s="27">
        <v>0</v>
      </c>
      <c r="M251" s="27">
        <v>0</v>
      </c>
      <c r="N251" s="27">
        <v>0</v>
      </c>
      <c r="O251" s="27">
        <v>0</v>
      </c>
      <c r="P251" s="27">
        <v>0</v>
      </c>
      <c r="Q251" s="27">
        <v>0</v>
      </c>
      <c r="R251" s="27">
        <v>0</v>
      </c>
      <c r="S251" s="27">
        <v>0</v>
      </c>
      <c r="T251" s="27">
        <v>0</v>
      </c>
      <c r="U251" s="27">
        <v>0</v>
      </c>
      <c r="V251" s="27">
        <v>0</v>
      </c>
      <c r="W251" s="27">
        <v>0</v>
      </c>
      <c r="X251" s="27">
        <v>0</v>
      </c>
      <c r="Y251" s="23"/>
      <c r="Z251" s="25"/>
      <c r="AA251" s="25"/>
      <c r="AB251" s="25"/>
      <c r="AC251" s="26"/>
    </row>
    <row r="252" spans="1:29" ht="174" customHeight="1" x14ac:dyDescent="0.25">
      <c r="A252" s="21" t="s">
        <v>590</v>
      </c>
      <c r="B252" s="22" t="s">
        <v>591</v>
      </c>
      <c r="C252" s="23" t="s">
        <v>177</v>
      </c>
      <c r="D252" s="23" t="s">
        <v>191</v>
      </c>
      <c r="E252" s="24">
        <f>SUM(E253:E255)+830</f>
        <v>830</v>
      </c>
      <c r="F252" s="24">
        <f>SUM(F253:F255)+830</f>
        <v>830</v>
      </c>
      <c r="G252" s="24">
        <f t="shared" ref="G252:N252" si="93">SUM(G253:G255)</f>
        <v>0</v>
      </c>
      <c r="H252" s="24">
        <f t="shared" si="93"/>
        <v>0</v>
      </c>
      <c r="I252" s="24">
        <f t="shared" si="93"/>
        <v>0</v>
      </c>
      <c r="J252" s="24">
        <f t="shared" si="93"/>
        <v>0</v>
      </c>
      <c r="K252" s="24">
        <f t="shared" si="93"/>
        <v>0</v>
      </c>
      <c r="L252" s="24">
        <f t="shared" si="93"/>
        <v>0</v>
      </c>
      <c r="M252" s="24">
        <f t="shared" si="93"/>
        <v>0</v>
      </c>
      <c r="N252" s="24">
        <f t="shared" si="93"/>
        <v>0</v>
      </c>
      <c r="O252" s="24">
        <f>SUM(O253:O255)+181.5</f>
        <v>181.5</v>
      </c>
      <c r="P252" s="24">
        <f>SUM(P253:P255)+181.5</f>
        <v>181.5</v>
      </c>
      <c r="Q252" s="24">
        <f t="shared" ref="Q252:X252" si="94">SUM(Q253:Q255)</f>
        <v>0</v>
      </c>
      <c r="R252" s="24">
        <f t="shared" si="94"/>
        <v>0</v>
      </c>
      <c r="S252" s="24">
        <f t="shared" si="94"/>
        <v>0</v>
      </c>
      <c r="T252" s="24">
        <f t="shared" si="94"/>
        <v>0</v>
      </c>
      <c r="U252" s="24">
        <f t="shared" si="94"/>
        <v>0</v>
      </c>
      <c r="V252" s="24">
        <f t="shared" si="94"/>
        <v>0</v>
      </c>
      <c r="W252" s="24">
        <f t="shared" si="94"/>
        <v>0</v>
      </c>
      <c r="X252" s="24">
        <f t="shared" si="94"/>
        <v>0</v>
      </c>
      <c r="Y252" s="23" t="s">
        <v>577</v>
      </c>
      <c r="Z252" s="25" t="s">
        <v>34</v>
      </c>
      <c r="AA252" s="25" t="s">
        <v>109</v>
      </c>
      <c r="AB252" s="25" t="s">
        <v>109</v>
      </c>
      <c r="AC252" s="26" t="s">
        <v>578</v>
      </c>
    </row>
    <row r="253" spans="1:29" ht="141.75" x14ac:dyDescent="0.25">
      <c r="A253" s="28"/>
      <c r="B253" s="29"/>
      <c r="C253" s="30"/>
      <c r="D253" s="30"/>
      <c r="E253" s="31">
        <v>0</v>
      </c>
      <c r="F253" s="31">
        <v>0</v>
      </c>
      <c r="G253" s="31">
        <v>0</v>
      </c>
      <c r="H253" s="31">
        <v>0</v>
      </c>
      <c r="I253" s="31">
        <v>0</v>
      </c>
      <c r="J253" s="31">
        <v>0</v>
      </c>
      <c r="K253" s="31">
        <v>0</v>
      </c>
      <c r="L253" s="31">
        <v>0</v>
      </c>
      <c r="M253" s="31">
        <v>0</v>
      </c>
      <c r="N253" s="31">
        <v>0</v>
      </c>
      <c r="O253" s="31">
        <v>0</v>
      </c>
      <c r="P253" s="31">
        <v>0</v>
      </c>
      <c r="Q253" s="31">
        <v>0</v>
      </c>
      <c r="R253" s="31">
        <v>0</v>
      </c>
      <c r="S253" s="31">
        <v>0</v>
      </c>
      <c r="T253" s="31">
        <v>0</v>
      </c>
      <c r="U253" s="31">
        <v>0</v>
      </c>
      <c r="V253" s="31">
        <v>0</v>
      </c>
      <c r="W253" s="31">
        <v>0</v>
      </c>
      <c r="X253" s="31">
        <v>0</v>
      </c>
      <c r="Y253" s="30" t="s">
        <v>192</v>
      </c>
      <c r="Z253" s="32" t="s">
        <v>34</v>
      </c>
      <c r="AA253" s="32" t="s">
        <v>109</v>
      </c>
      <c r="AB253" s="32" t="s">
        <v>109</v>
      </c>
      <c r="AC253" s="33" t="s">
        <v>578</v>
      </c>
    </row>
    <row r="254" spans="1:29" ht="60.75" x14ac:dyDescent="0.25">
      <c r="A254" s="21" t="s">
        <v>592</v>
      </c>
      <c r="B254" s="22" t="s">
        <v>593</v>
      </c>
      <c r="C254" s="23"/>
      <c r="D254" s="23" t="s">
        <v>191</v>
      </c>
      <c r="E254" s="27">
        <v>0</v>
      </c>
      <c r="F254" s="27">
        <v>0</v>
      </c>
      <c r="G254" s="27">
        <v>0</v>
      </c>
      <c r="H254" s="27">
        <v>0</v>
      </c>
      <c r="I254" s="27">
        <v>0</v>
      </c>
      <c r="J254" s="27">
        <v>0</v>
      </c>
      <c r="K254" s="27">
        <v>0</v>
      </c>
      <c r="L254" s="27">
        <v>0</v>
      </c>
      <c r="M254" s="27">
        <v>0</v>
      </c>
      <c r="N254" s="27">
        <v>0</v>
      </c>
      <c r="O254" s="27">
        <v>0</v>
      </c>
      <c r="P254" s="27">
        <v>0</v>
      </c>
      <c r="Q254" s="27">
        <v>0</v>
      </c>
      <c r="R254" s="27">
        <v>0</v>
      </c>
      <c r="S254" s="27">
        <v>0</v>
      </c>
      <c r="T254" s="27">
        <v>0</v>
      </c>
      <c r="U254" s="27">
        <v>0</v>
      </c>
      <c r="V254" s="27">
        <v>0</v>
      </c>
      <c r="W254" s="27">
        <v>0</v>
      </c>
      <c r="X254" s="27">
        <v>0</v>
      </c>
      <c r="Y254" s="23"/>
      <c r="Z254" s="25"/>
      <c r="AA254" s="25"/>
      <c r="AB254" s="25"/>
      <c r="AC254" s="26"/>
    </row>
    <row r="255" spans="1:29" ht="84" customHeight="1" x14ac:dyDescent="0.25">
      <c r="A255" s="21" t="s">
        <v>594</v>
      </c>
      <c r="B255" s="22" t="s">
        <v>582</v>
      </c>
      <c r="C255" s="23"/>
      <c r="D255" s="23" t="s">
        <v>191</v>
      </c>
      <c r="E255" s="27">
        <v>0</v>
      </c>
      <c r="F255" s="27">
        <v>0</v>
      </c>
      <c r="G255" s="27">
        <v>0</v>
      </c>
      <c r="H255" s="27">
        <v>0</v>
      </c>
      <c r="I255" s="27">
        <v>0</v>
      </c>
      <c r="J255" s="27">
        <v>0</v>
      </c>
      <c r="K255" s="27">
        <v>0</v>
      </c>
      <c r="L255" s="27">
        <v>0</v>
      </c>
      <c r="M255" s="27">
        <v>0</v>
      </c>
      <c r="N255" s="27">
        <v>0</v>
      </c>
      <c r="O255" s="27">
        <v>0</v>
      </c>
      <c r="P255" s="27">
        <v>0</v>
      </c>
      <c r="Q255" s="27">
        <v>0</v>
      </c>
      <c r="R255" s="27">
        <v>0</v>
      </c>
      <c r="S255" s="27">
        <v>0</v>
      </c>
      <c r="T255" s="27">
        <v>0</v>
      </c>
      <c r="U255" s="27">
        <v>0</v>
      </c>
      <c r="V255" s="27">
        <v>0</v>
      </c>
      <c r="W255" s="27">
        <v>0</v>
      </c>
      <c r="X255" s="27">
        <v>0</v>
      </c>
      <c r="Y255" s="23"/>
      <c r="Z255" s="25"/>
      <c r="AA255" s="25"/>
      <c r="AB255" s="25"/>
      <c r="AC255" s="26"/>
    </row>
    <row r="256" spans="1:29" ht="137.25" customHeight="1" x14ac:dyDescent="0.25">
      <c r="A256" s="21" t="s">
        <v>595</v>
      </c>
      <c r="B256" s="22" t="s">
        <v>596</v>
      </c>
      <c r="C256" s="23" t="s">
        <v>177</v>
      </c>
      <c r="D256" s="23" t="s">
        <v>191</v>
      </c>
      <c r="E256" s="24">
        <f>SUM(E257:E257)+24200</f>
        <v>24200</v>
      </c>
      <c r="F256" s="24">
        <f>SUM(F257:F257)+12100</f>
        <v>12100</v>
      </c>
      <c r="G256" s="24">
        <f>SUM(G257:G257)</f>
        <v>0</v>
      </c>
      <c r="H256" s="24">
        <f>SUM(H257:H257)</f>
        <v>0</v>
      </c>
      <c r="I256" s="24">
        <f>SUM(I257:I257)</f>
        <v>0</v>
      </c>
      <c r="J256" s="24">
        <f>SUM(J257:J257)</f>
        <v>0</v>
      </c>
      <c r="K256" s="24">
        <f>SUM(K257:K257)</f>
        <v>0</v>
      </c>
      <c r="L256" s="24">
        <f>SUM(L257:L257)+12100</f>
        <v>12100</v>
      </c>
      <c r="M256" s="24">
        <f>SUM(M257:M257)</f>
        <v>0</v>
      </c>
      <c r="N256" s="24">
        <f>SUM(N257:N257)</f>
        <v>0</v>
      </c>
      <c r="O256" s="24">
        <f>SUM(O257:O257)+24309</f>
        <v>24309</v>
      </c>
      <c r="P256" s="24">
        <f>SUM(P257:P257)+12100</f>
        <v>12100</v>
      </c>
      <c r="Q256" s="24">
        <f>SUM(Q257:Q257)</f>
        <v>0</v>
      </c>
      <c r="R256" s="24">
        <f>SUM(R257:R257)</f>
        <v>0</v>
      </c>
      <c r="S256" s="24">
        <f>SUM(S257:S257)</f>
        <v>0</v>
      </c>
      <c r="T256" s="24">
        <f>SUM(T257:T257)</f>
        <v>0</v>
      </c>
      <c r="U256" s="24">
        <f>SUM(U257:U257)</f>
        <v>0</v>
      </c>
      <c r="V256" s="24">
        <f>SUM(V257:V257)+12209</f>
        <v>12209</v>
      </c>
      <c r="W256" s="24">
        <f>SUM(W257:W257)</f>
        <v>0</v>
      </c>
      <c r="X256" s="24">
        <f>SUM(X257:X257)</f>
        <v>0</v>
      </c>
      <c r="Y256" s="23" t="s">
        <v>597</v>
      </c>
      <c r="Z256" s="25" t="s">
        <v>34</v>
      </c>
      <c r="AA256" s="25" t="s">
        <v>42</v>
      </c>
      <c r="AB256" s="25" t="s">
        <v>42</v>
      </c>
      <c r="AC256" s="26"/>
    </row>
    <row r="257" spans="1:29" ht="55.5" customHeight="1" x14ac:dyDescent="0.25">
      <c r="A257" s="21" t="s">
        <v>598</v>
      </c>
      <c r="B257" s="22" t="s">
        <v>599</v>
      </c>
      <c r="C257" s="23"/>
      <c r="D257" s="23" t="s">
        <v>600</v>
      </c>
      <c r="E257" s="27">
        <v>0</v>
      </c>
      <c r="F257" s="27">
        <v>0</v>
      </c>
      <c r="G257" s="27">
        <v>0</v>
      </c>
      <c r="H257" s="27">
        <v>0</v>
      </c>
      <c r="I257" s="27">
        <v>0</v>
      </c>
      <c r="J257" s="27">
        <v>0</v>
      </c>
      <c r="K257" s="27">
        <v>0</v>
      </c>
      <c r="L257" s="27">
        <v>0</v>
      </c>
      <c r="M257" s="27">
        <v>0</v>
      </c>
      <c r="N257" s="27">
        <v>0</v>
      </c>
      <c r="O257" s="27">
        <v>0</v>
      </c>
      <c r="P257" s="27">
        <v>0</v>
      </c>
      <c r="Q257" s="27">
        <v>0</v>
      </c>
      <c r="R257" s="27">
        <v>0</v>
      </c>
      <c r="S257" s="27">
        <v>0</v>
      </c>
      <c r="T257" s="27">
        <v>0</v>
      </c>
      <c r="U257" s="27">
        <v>0</v>
      </c>
      <c r="V257" s="27">
        <v>0</v>
      </c>
      <c r="W257" s="27">
        <v>0</v>
      </c>
      <c r="X257" s="27">
        <v>0</v>
      </c>
      <c r="Y257" s="23"/>
      <c r="Z257" s="25"/>
      <c r="AA257" s="25"/>
      <c r="AB257" s="25"/>
      <c r="AC257" s="26"/>
    </row>
    <row r="258" spans="1:29" ht="42.75" customHeight="1" x14ac:dyDescent="0.25">
      <c r="A258" s="21" t="s">
        <v>601</v>
      </c>
      <c r="B258" s="22" t="s">
        <v>602</v>
      </c>
      <c r="C258" s="23" t="s">
        <v>177</v>
      </c>
      <c r="D258" s="23" t="s">
        <v>191</v>
      </c>
      <c r="E258" s="24">
        <f t="shared" ref="E258:X258" si="95">SUM(E259:E259)</f>
        <v>0</v>
      </c>
      <c r="F258" s="24">
        <f t="shared" si="95"/>
        <v>0</v>
      </c>
      <c r="G258" s="24">
        <f t="shared" si="95"/>
        <v>0</v>
      </c>
      <c r="H258" s="24">
        <f t="shared" si="95"/>
        <v>0</v>
      </c>
      <c r="I258" s="24">
        <f t="shared" si="95"/>
        <v>0</v>
      </c>
      <c r="J258" s="24">
        <f t="shared" si="95"/>
        <v>0</v>
      </c>
      <c r="K258" s="24">
        <f t="shared" si="95"/>
        <v>0</v>
      </c>
      <c r="L258" s="24">
        <f t="shared" si="95"/>
        <v>0</v>
      </c>
      <c r="M258" s="24">
        <f t="shared" si="95"/>
        <v>0</v>
      </c>
      <c r="N258" s="24">
        <f t="shared" si="95"/>
        <v>0</v>
      </c>
      <c r="O258" s="24">
        <f t="shared" si="95"/>
        <v>0</v>
      </c>
      <c r="P258" s="24">
        <f t="shared" si="95"/>
        <v>0</v>
      </c>
      <c r="Q258" s="24">
        <f t="shared" si="95"/>
        <v>0</v>
      </c>
      <c r="R258" s="24">
        <f t="shared" si="95"/>
        <v>0</v>
      </c>
      <c r="S258" s="24">
        <f t="shared" si="95"/>
        <v>0</v>
      </c>
      <c r="T258" s="24">
        <f t="shared" si="95"/>
        <v>0</v>
      </c>
      <c r="U258" s="24">
        <f t="shared" si="95"/>
        <v>0</v>
      </c>
      <c r="V258" s="24">
        <f t="shared" si="95"/>
        <v>0</v>
      </c>
      <c r="W258" s="24">
        <f t="shared" si="95"/>
        <v>0</v>
      </c>
      <c r="X258" s="24">
        <f t="shared" si="95"/>
        <v>0</v>
      </c>
      <c r="Y258" s="23" t="s">
        <v>603</v>
      </c>
      <c r="Z258" s="25" t="s">
        <v>34</v>
      </c>
      <c r="AA258" s="25" t="s">
        <v>42</v>
      </c>
      <c r="AB258" s="25" t="s">
        <v>42</v>
      </c>
      <c r="AC258" s="26"/>
    </row>
    <row r="259" spans="1:29" ht="33.75" customHeight="1" x14ac:dyDescent="0.25">
      <c r="A259" s="21" t="s">
        <v>604</v>
      </c>
      <c r="B259" s="22" t="s">
        <v>605</v>
      </c>
      <c r="C259" s="23"/>
      <c r="D259" s="23" t="s">
        <v>191</v>
      </c>
      <c r="E259" s="27">
        <v>0</v>
      </c>
      <c r="F259" s="27">
        <v>0</v>
      </c>
      <c r="G259" s="27">
        <v>0</v>
      </c>
      <c r="H259" s="27">
        <v>0</v>
      </c>
      <c r="I259" s="27">
        <v>0</v>
      </c>
      <c r="J259" s="27">
        <v>0</v>
      </c>
      <c r="K259" s="27">
        <v>0</v>
      </c>
      <c r="L259" s="27">
        <v>0</v>
      </c>
      <c r="M259" s="27">
        <v>0</v>
      </c>
      <c r="N259" s="27">
        <v>0</v>
      </c>
      <c r="O259" s="27">
        <v>0</v>
      </c>
      <c r="P259" s="27">
        <v>0</v>
      </c>
      <c r="Q259" s="27">
        <v>0</v>
      </c>
      <c r="R259" s="27">
        <v>0</v>
      </c>
      <c r="S259" s="27">
        <v>0</v>
      </c>
      <c r="T259" s="27">
        <v>0</v>
      </c>
      <c r="U259" s="27">
        <v>0</v>
      </c>
      <c r="V259" s="27">
        <v>0</v>
      </c>
      <c r="W259" s="27">
        <v>0</v>
      </c>
      <c r="X259" s="27">
        <v>0</v>
      </c>
      <c r="Y259" s="23"/>
      <c r="Z259" s="25"/>
      <c r="AA259" s="25"/>
      <c r="AB259" s="25"/>
      <c r="AC259" s="26"/>
    </row>
    <row r="260" spans="1:29" ht="79.5" customHeight="1" x14ac:dyDescent="0.25">
      <c r="A260" s="21" t="s">
        <v>606</v>
      </c>
      <c r="B260" s="22" t="s">
        <v>607</v>
      </c>
      <c r="C260" s="23" t="s">
        <v>25</v>
      </c>
      <c r="D260" s="23" t="s">
        <v>608</v>
      </c>
      <c r="E260" s="24">
        <f>SUM(E261:E261)+2650</f>
        <v>2650</v>
      </c>
      <c r="F260" s="24">
        <f>SUM(F261:F261)+2650</f>
        <v>2650</v>
      </c>
      <c r="G260" s="24">
        <f t="shared" ref="G260:N260" si="96">SUM(G261:G261)</f>
        <v>0</v>
      </c>
      <c r="H260" s="24">
        <f t="shared" si="96"/>
        <v>0</v>
      </c>
      <c r="I260" s="24">
        <f t="shared" si="96"/>
        <v>0</v>
      </c>
      <c r="J260" s="24">
        <f t="shared" si="96"/>
        <v>0</v>
      </c>
      <c r="K260" s="24">
        <f t="shared" si="96"/>
        <v>0</v>
      </c>
      <c r="L260" s="24">
        <f t="shared" si="96"/>
        <v>0</v>
      </c>
      <c r="M260" s="24">
        <f t="shared" si="96"/>
        <v>0</v>
      </c>
      <c r="N260" s="24">
        <f t="shared" si="96"/>
        <v>0</v>
      </c>
      <c r="O260" s="24">
        <f>SUM(O261:O261)+4551.29</f>
        <v>4551.29</v>
      </c>
      <c r="P260" s="24">
        <f>SUM(P261:P261)+2293.8</f>
        <v>2293.8000000000002</v>
      </c>
      <c r="Q260" s="24">
        <f>SUM(Q261:Q261)</f>
        <v>0</v>
      </c>
      <c r="R260" s="24">
        <f>SUM(R261:R261)</f>
        <v>0</v>
      </c>
      <c r="S260" s="24">
        <f>SUM(S261:S261)</f>
        <v>0</v>
      </c>
      <c r="T260" s="24">
        <f>SUM(T261:T261)</f>
        <v>0</v>
      </c>
      <c r="U260" s="24">
        <f>SUM(U261:U261)+2257.49</f>
        <v>2257.4899999999998</v>
      </c>
      <c r="V260" s="24">
        <f>SUM(V261:V261)</f>
        <v>0</v>
      </c>
      <c r="W260" s="24">
        <f>SUM(W261:W261)</f>
        <v>0</v>
      </c>
      <c r="X260" s="24">
        <f>SUM(X261:X261)</f>
        <v>0</v>
      </c>
      <c r="Y260" s="23" t="s">
        <v>609</v>
      </c>
      <c r="Z260" s="25" t="s">
        <v>34</v>
      </c>
      <c r="AA260" s="25" t="s">
        <v>42</v>
      </c>
      <c r="AB260" s="25" t="s">
        <v>48</v>
      </c>
      <c r="AC260" s="26" t="s">
        <v>610</v>
      </c>
    </row>
    <row r="261" spans="1:29" ht="46.5" customHeight="1" x14ac:dyDescent="0.25">
      <c r="A261" s="21" t="s">
        <v>611</v>
      </c>
      <c r="B261" s="22" t="s">
        <v>612</v>
      </c>
      <c r="C261" s="23"/>
      <c r="D261" s="23" t="s">
        <v>608</v>
      </c>
      <c r="E261" s="27">
        <v>0</v>
      </c>
      <c r="F261" s="27">
        <v>0</v>
      </c>
      <c r="G261" s="27">
        <v>0</v>
      </c>
      <c r="H261" s="27">
        <v>0</v>
      </c>
      <c r="I261" s="27">
        <v>0</v>
      </c>
      <c r="J261" s="27">
        <v>0</v>
      </c>
      <c r="K261" s="27">
        <v>0</v>
      </c>
      <c r="L261" s="27">
        <v>0</v>
      </c>
      <c r="M261" s="27">
        <v>0</v>
      </c>
      <c r="N261" s="27">
        <v>0</v>
      </c>
      <c r="O261" s="27">
        <v>0</v>
      </c>
      <c r="P261" s="27">
        <v>0</v>
      </c>
      <c r="Q261" s="27">
        <v>0</v>
      </c>
      <c r="R261" s="27">
        <v>0</v>
      </c>
      <c r="S261" s="27">
        <v>0</v>
      </c>
      <c r="T261" s="27">
        <v>0</v>
      </c>
      <c r="U261" s="27">
        <v>0</v>
      </c>
      <c r="V261" s="27">
        <v>0</v>
      </c>
      <c r="W261" s="27">
        <v>0</v>
      </c>
      <c r="X261" s="27">
        <v>0</v>
      </c>
      <c r="Y261" s="23"/>
      <c r="Z261" s="25"/>
      <c r="AA261" s="25"/>
      <c r="AB261" s="25"/>
      <c r="AC261" s="26"/>
    </row>
    <row r="262" spans="1:29" ht="63" customHeight="1" x14ac:dyDescent="0.25">
      <c r="A262" s="9" t="s">
        <v>613</v>
      </c>
      <c r="B262" s="10" t="s">
        <v>614</v>
      </c>
      <c r="C262" s="11"/>
      <c r="D262" s="11"/>
      <c r="E262" s="12">
        <f t="shared" ref="E262:N263" si="97">SUM(E263:E263)</f>
        <v>7000</v>
      </c>
      <c r="F262" s="12">
        <f t="shared" si="97"/>
        <v>7000</v>
      </c>
      <c r="G262" s="12">
        <f t="shared" si="97"/>
        <v>0</v>
      </c>
      <c r="H262" s="12">
        <f t="shared" si="97"/>
        <v>0</v>
      </c>
      <c r="I262" s="12">
        <f t="shared" si="97"/>
        <v>0</v>
      </c>
      <c r="J262" s="12">
        <f t="shared" si="97"/>
        <v>0</v>
      </c>
      <c r="K262" s="12">
        <f t="shared" si="97"/>
        <v>0</v>
      </c>
      <c r="L262" s="12">
        <f t="shared" si="97"/>
        <v>0</v>
      </c>
      <c r="M262" s="12">
        <f t="shared" si="97"/>
        <v>0</v>
      </c>
      <c r="N262" s="12">
        <f t="shared" si="97"/>
        <v>0</v>
      </c>
      <c r="O262" s="12">
        <f t="shared" ref="O262:X263" si="98">SUM(O263:O263)</f>
        <v>7000</v>
      </c>
      <c r="P262" s="12">
        <f t="shared" si="98"/>
        <v>7000</v>
      </c>
      <c r="Q262" s="12">
        <f t="shared" si="98"/>
        <v>0</v>
      </c>
      <c r="R262" s="12">
        <f t="shared" si="98"/>
        <v>0</v>
      </c>
      <c r="S262" s="12">
        <f t="shared" si="98"/>
        <v>0</v>
      </c>
      <c r="T262" s="12">
        <f t="shared" si="98"/>
        <v>0</v>
      </c>
      <c r="U262" s="12">
        <f t="shared" si="98"/>
        <v>0</v>
      </c>
      <c r="V262" s="12">
        <f t="shared" si="98"/>
        <v>0</v>
      </c>
      <c r="W262" s="12">
        <f t="shared" si="98"/>
        <v>0</v>
      </c>
      <c r="X262" s="12">
        <f t="shared" si="98"/>
        <v>0</v>
      </c>
      <c r="Y262" s="11"/>
      <c r="Z262" s="13"/>
      <c r="AA262" s="13"/>
      <c r="AB262" s="13"/>
      <c r="AC262" s="14"/>
    </row>
    <row r="263" spans="1:29" ht="50.25" customHeight="1" x14ac:dyDescent="0.25">
      <c r="A263" s="15" t="s">
        <v>615</v>
      </c>
      <c r="B263" s="16" t="s">
        <v>616</v>
      </c>
      <c r="C263" s="17"/>
      <c r="D263" s="17"/>
      <c r="E263" s="18">
        <f t="shared" si="97"/>
        <v>7000</v>
      </c>
      <c r="F263" s="18">
        <f t="shared" si="97"/>
        <v>7000</v>
      </c>
      <c r="G263" s="18">
        <f t="shared" si="97"/>
        <v>0</v>
      </c>
      <c r="H263" s="18">
        <f t="shared" si="97"/>
        <v>0</v>
      </c>
      <c r="I263" s="18">
        <f t="shared" si="97"/>
        <v>0</v>
      </c>
      <c r="J263" s="18">
        <f t="shared" si="97"/>
        <v>0</v>
      </c>
      <c r="K263" s="18">
        <f t="shared" si="97"/>
        <v>0</v>
      </c>
      <c r="L263" s="18">
        <f t="shared" si="97"/>
        <v>0</v>
      </c>
      <c r="M263" s="18">
        <f t="shared" si="97"/>
        <v>0</v>
      </c>
      <c r="N263" s="18">
        <f t="shared" si="97"/>
        <v>0</v>
      </c>
      <c r="O263" s="18">
        <f t="shared" si="98"/>
        <v>7000</v>
      </c>
      <c r="P263" s="18">
        <f t="shared" si="98"/>
        <v>7000</v>
      </c>
      <c r="Q263" s="18">
        <f t="shared" si="98"/>
        <v>0</v>
      </c>
      <c r="R263" s="18">
        <f t="shared" si="98"/>
        <v>0</v>
      </c>
      <c r="S263" s="18">
        <f t="shared" si="98"/>
        <v>0</v>
      </c>
      <c r="T263" s="18">
        <f t="shared" si="98"/>
        <v>0</v>
      </c>
      <c r="U263" s="18">
        <f t="shared" si="98"/>
        <v>0</v>
      </c>
      <c r="V263" s="18">
        <f t="shared" si="98"/>
        <v>0</v>
      </c>
      <c r="W263" s="18">
        <f t="shared" si="98"/>
        <v>0</v>
      </c>
      <c r="X263" s="18">
        <f t="shared" si="98"/>
        <v>0</v>
      </c>
      <c r="Y263" s="17"/>
      <c r="Z263" s="19"/>
      <c r="AA263" s="19"/>
      <c r="AB263" s="19"/>
      <c r="AC263" s="20"/>
    </row>
    <row r="264" spans="1:29" ht="70.5" customHeight="1" x14ac:dyDescent="0.25">
      <c r="A264" s="21" t="s">
        <v>617</v>
      </c>
      <c r="B264" s="22" t="s">
        <v>618</v>
      </c>
      <c r="C264" s="23" t="s">
        <v>177</v>
      </c>
      <c r="D264" s="23" t="s">
        <v>619</v>
      </c>
      <c r="E264" s="24">
        <f>SUM(E265:E265)+7000</f>
        <v>7000</v>
      </c>
      <c r="F264" s="24">
        <f>SUM(F265:F265)+7000</f>
        <v>7000</v>
      </c>
      <c r="G264" s="24">
        <f t="shared" ref="G264:N264" si="99">SUM(G265:G265)</f>
        <v>0</v>
      </c>
      <c r="H264" s="24">
        <f t="shared" si="99"/>
        <v>0</v>
      </c>
      <c r="I264" s="24">
        <f t="shared" si="99"/>
        <v>0</v>
      </c>
      <c r="J264" s="24">
        <f t="shared" si="99"/>
        <v>0</v>
      </c>
      <c r="K264" s="24">
        <f t="shared" si="99"/>
        <v>0</v>
      </c>
      <c r="L264" s="24">
        <f t="shared" si="99"/>
        <v>0</v>
      </c>
      <c r="M264" s="24">
        <f t="shared" si="99"/>
        <v>0</v>
      </c>
      <c r="N264" s="24">
        <f t="shared" si="99"/>
        <v>0</v>
      </c>
      <c r="O264" s="24">
        <f>SUM(O265:O265)+7000</f>
        <v>7000</v>
      </c>
      <c r="P264" s="24">
        <f>SUM(P265:P265)+7000</f>
        <v>7000</v>
      </c>
      <c r="Q264" s="24">
        <f t="shared" ref="Q264:X264" si="100">SUM(Q265:Q265)</f>
        <v>0</v>
      </c>
      <c r="R264" s="24">
        <f t="shared" si="100"/>
        <v>0</v>
      </c>
      <c r="S264" s="24">
        <f t="shared" si="100"/>
        <v>0</v>
      </c>
      <c r="T264" s="24">
        <f t="shared" si="100"/>
        <v>0</v>
      </c>
      <c r="U264" s="24">
        <f t="shared" si="100"/>
        <v>0</v>
      </c>
      <c r="V264" s="24">
        <f t="shared" si="100"/>
        <v>0</v>
      </c>
      <c r="W264" s="24">
        <f t="shared" si="100"/>
        <v>0</v>
      </c>
      <c r="X264" s="24">
        <f t="shared" si="100"/>
        <v>0</v>
      </c>
      <c r="Y264" s="23" t="s">
        <v>620</v>
      </c>
      <c r="Z264" s="25" t="s">
        <v>34</v>
      </c>
      <c r="AA264" s="25" t="s">
        <v>42</v>
      </c>
      <c r="AB264" s="25" t="s">
        <v>42</v>
      </c>
      <c r="AC264" s="26"/>
    </row>
    <row r="265" spans="1:29" ht="33.75" customHeight="1" x14ac:dyDescent="0.25">
      <c r="A265" s="21" t="s">
        <v>621</v>
      </c>
      <c r="B265" s="22" t="s">
        <v>622</v>
      </c>
      <c r="C265" s="23"/>
      <c r="D265" s="23" t="s">
        <v>619</v>
      </c>
      <c r="E265" s="27">
        <v>0</v>
      </c>
      <c r="F265" s="27">
        <v>0</v>
      </c>
      <c r="G265" s="27">
        <v>0</v>
      </c>
      <c r="H265" s="27">
        <v>0</v>
      </c>
      <c r="I265" s="27">
        <v>0</v>
      </c>
      <c r="J265" s="27">
        <v>0</v>
      </c>
      <c r="K265" s="27">
        <v>0</v>
      </c>
      <c r="L265" s="27">
        <v>0</v>
      </c>
      <c r="M265" s="27">
        <v>0</v>
      </c>
      <c r="N265" s="27">
        <v>0</v>
      </c>
      <c r="O265" s="27">
        <v>0</v>
      </c>
      <c r="P265" s="27">
        <v>0</v>
      </c>
      <c r="Q265" s="27">
        <v>0</v>
      </c>
      <c r="R265" s="27">
        <v>0</v>
      </c>
      <c r="S265" s="27">
        <v>0</v>
      </c>
      <c r="T265" s="27">
        <v>0</v>
      </c>
      <c r="U265" s="27">
        <v>0</v>
      </c>
      <c r="V265" s="27">
        <v>0</v>
      </c>
      <c r="W265" s="27">
        <v>0</v>
      </c>
      <c r="X265" s="27">
        <v>0</v>
      </c>
      <c r="Y265" s="23"/>
      <c r="Z265" s="25"/>
      <c r="AA265" s="25"/>
      <c r="AB265" s="25"/>
      <c r="AC265" s="26"/>
    </row>
    <row r="266" spans="1:29" ht="40.5" x14ac:dyDescent="0.25">
      <c r="A266" s="3" t="s">
        <v>623</v>
      </c>
      <c r="B266" s="4" t="s">
        <v>624</v>
      </c>
      <c r="C266" s="5" t="s">
        <v>25</v>
      </c>
      <c r="D266" s="5" t="s">
        <v>625</v>
      </c>
      <c r="E266" s="6">
        <f t="shared" ref="E266:X266" si="101">E267+E275+E296+E311+E320</f>
        <v>181746</v>
      </c>
      <c r="F266" s="6">
        <f t="shared" si="101"/>
        <v>129996</v>
      </c>
      <c r="G266" s="6">
        <f t="shared" si="101"/>
        <v>0</v>
      </c>
      <c r="H266" s="6">
        <f t="shared" si="101"/>
        <v>0</v>
      </c>
      <c r="I266" s="6">
        <f t="shared" si="101"/>
        <v>0</v>
      </c>
      <c r="J266" s="6">
        <f t="shared" si="101"/>
        <v>0</v>
      </c>
      <c r="K266" s="6">
        <f t="shared" si="101"/>
        <v>0</v>
      </c>
      <c r="L266" s="6">
        <f t="shared" si="101"/>
        <v>51750</v>
      </c>
      <c r="M266" s="6">
        <f t="shared" si="101"/>
        <v>0</v>
      </c>
      <c r="N266" s="6">
        <f t="shared" si="101"/>
        <v>0</v>
      </c>
      <c r="O266" s="6">
        <f t="shared" si="101"/>
        <v>182028.58</v>
      </c>
      <c r="P266" s="6">
        <f t="shared" si="101"/>
        <v>130311.38</v>
      </c>
      <c r="Q266" s="6">
        <f t="shared" si="101"/>
        <v>0</v>
      </c>
      <c r="R266" s="6">
        <f t="shared" si="101"/>
        <v>0</v>
      </c>
      <c r="S266" s="6">
        <f t="shared" si="101"/>
        <v>0</v>
      </c>
      <c r="T266" s="6">
        <f t="shared" si="101"/>
        <v>0</v>
      </c>
      <c r="U266" s="6">
        <f t="shared" si="101"/>
        <v>0</v>
      </c>
      <c r="V266" s="6">
        <f t="shared" si="101"/>
        <v>51717.2</v>
      </c>
      <c r="W266" s="6">
        <f t="shared" si="101"/>
        <v>0</v>
      </c>
      <c r="X266" s="6">
        <f t="shared" si="101"/>
        <v>0</v>
      </c>
      <c r="Y266" s="5"/>
      <c r="Z266" s="7"/>
      <c r="AA266" s="7"/>
      <c r="AB266" s="7"/>
      <c r="AC266" s="8"/>
    </row>
    <row r="267" spans="1:29" ht="75.75" customHeight="1" x14ac:dyDescent="0.25">
      <c r="A267" s="9" t="s">
        <v>626</v>
      </c>
      <c r="B267" s="10" t="s">
        <v>627</v>
      </c>
      <c r="C267" s="11"/>
      <c r="D267" s="11"/>
      <c r="E267" s="12">
        <f t="shared" ref="E267:X267" si="102">E268+E271</f>
        <v>490</v>
      </c>
      <c r="F267" s="12">
        <f t="shared" si="102"/>
        <v>490</v>
      </c>
      <c r="G267" s="12">
        <f t="shared" si="102"/>
        <v>0</v>
      </c>
      <c r="H267" s="12">
        <f t="shared" si="102"/>
        <v>0</v>
      </c>
      <c r="I267" s="12">
        <f t="shared" si="102"/>
        <v>0</v>
      </c>
      <c r="J267" s="12">
        <f t="shared" si="102"/>
        <v>0</v>
      </c>
      <c r="K267" s="12">
        <f t="shared" si="102"/>
        <v>0</v>
      </c>
      <c r="L267" s="12">
        <f t="shared" si="102"/>
        <v>0</v>
      </c>
      <c r="M267" s="12">
        <f t="shared" si="102"/>
        <v>0</v>
      </c>
      <c r="N267" s="12">
        <f t="shared" si="102"/>
        <v>0</v>
      </c>
      <c r="O267" s="12">
        <f t="shared" si="102"/>
        <v>489.04</v>
      </c>
      <c r="P267" s="12">
        <f t="shared" si="102"/>
        <v>489.04</v>
      </c>
      <c r="Q267" s="12">
        <f t="shared" si="102"/>
        <v>0</v>
      </c>
      <c r="R267" s="12">
        <f t="shared" si="102"/>
        <v>0</v>
      </c>
      <c r="S267" s="12">
        <f t="shared" si="102"/>
        <v>0</v>
      </c>
      <c r="T267" s="12">
        <f t="shared" si="102"/>
        <v>0</v>
      </c>
      <c r="U267" s="12">
        <f t="shared" si="102"/>
        <v>0</v>
      </c>
      <c r="V267" s="12">
        <f t="shared" si="102"/>
        <v>0</v>
      </c>
      <c r="W267" s="12">
        <f t="shared" si="102"/>
        <v>0</v>
      </c>
      <c r="X267" s="12">
        <f t="shared" si="102"/>
        <v>0</v>
      </c>
      <c r="Y267" s="11"/>
      <c r="Z267" s="13"/>
      <c r="AA267" s="13"/>
      <c r="AB267" s="13"/>
      <c r="AC267" s="14"/>
    </row>
    <row r="268" spans="1:29" ht="68.25" customHeight="1" x14ac:dyDescent="0.25">
      <c r="A268" s="15" t="s">
        <v>628</v>
      </c>
      <c r="B268" s="16" t="s">
        <v>629</v>
      </c>
      <c r="C268" s="17"/>
      <c r="D268" s="17"/>
      <c r="E268" s="18">
        <f t="shared" ref="E268:X268" si="103">SUM(E269:E269)</f>
        <v>490</v>
      </c>
      <c r="F268" s="18">
        <f t="shared" si="103"/>
        <v>490</v>
      </c>
      <c r="G268" s="18">
        <f t="shared" si="103"/>
        <v>0</v>
      </c>
      <c r="H268" s="18">
        <f t="shared" si="103"/>
        <v>0</v>
      </c>
      <c r="I268" s="18">
        <f t="shared" si="103"/>
        <v>0</v>
      </c>
      <c r="J268" s="18">
        <f t="shared" si="103"/>
        <v>0</v>
      </c>
      <c r="K268" s="18">
        <f t="shared" si="103"/>
        <v>0</v>
      </c>
      <c r="L268" s="18">
        <f t="shared" si="103"/>
        <v>0</v>
      </c>
      <c r="M268" s="18">
        <f t="shared" si="103"/>
        <v>0</v>
      </c>
      <c r="N268" s="18">
        <f t="shared" si="103"/>
        <v>0</v>
      </c>
      <c r="O268" s="18">
        <f t="shared" si="103"/>
        <v>489.04</v>
      </c>
      <c r="P268" s="18">
        <f t="shared" si="103"/>
        <v>489.04</v>
      </c>
      <c r="Q268" s="18">
        <f t="shared" si="103"/>
        <v>0</v>
      </c>
      <c r="R268" s="18">
        <f t="shared" si="103"/>
        <v>0</v>
      </c>
      <c r="S268" s="18">
        <f t="shared" si="103"/>
        <v>0</v>
      </c>
      <c r="T268" s="18">
        <f t="shared" si="103"/>
        <v>0</v>
      </c>
      <c r="U268" s="18">
        <f t="shared" si="103"/>
        <v>0</v>
      </c>
      <c r="V268" s="18">
        <f t="shared" si="103"/>
        <v>0</v>
      </c>
      <c r="W268" s="18">
        <f t="shared" si="103"/>
        <v>0</v>
      </c>
      <c r="X268" s="18">
        <f t="shared" si="103"/>
        <v>0</v>
      </c>
      <c r="Y268" s="17"/>
      <c r="Z268" s="19"/>
      <c r="AA268" s="19"/>
      <c r="AB268" s="19"/>
      <c r="AC268" s="20"/>
    </row>
    <row r="269" spans="1:29" ht="157.5" customHeight="1" x14ac:dyDescent="0.25">
      <c r="A269" s="21" t="s">
        <v>630</v>
      </c>
      <c r="B269" s="22" t="s">
        <v>631</v>
      </c>
      <c r="C269" s="23"/>
      <c r="D269" s="23" t="s">
        <v>608</v>
      </c>
      <c r="E269" s="24">
        <f>SUM(E270:E270)+490</f>
        <v>490</v>
      </c>
      <c r="F269" s="24">
        <f>SUM(F270:F270)+490</f>
        <v>490</v>
      </c>
      <c r="G269" s="24">
        <f t="shared" ref="G269:N269" si="104">SUM(G270:G270)</f>
        <v>0</v>
      </c>
      <c r="H269" s="24">
        <f t="shared" si="104"/>
        <v>0</v>
      </c>
      <c r="I269" s="24">
        <f t="shared" si="104"/>
        <v>0</v>
      </c>
      <c r="J269" s="24">
        <f t="shared" si="104"/>
        <v>0</v>
      </c>
      <c r="K269" s="24">
        <f t="shared" si="104"/>
        <v>0</v>
      </c>
      <c r="L269" s="24">
        <f t="shared" si="104"/>
        <v>0</v>
      </c>
      <c r="M269" s="24">
        <f t="shared" si="104"/>
        <v>0</v>
      </c>
      <c r="N269" s="24">
        <f t="shared" si="104"/>
        <v>0</v>
      </c>
      <c r="O269" s="24">
        <f>SUM(O270:O270)+489.04</f>
        <v>489.04</v>
      </c>
      <c r="P269" s="24">
        <f>SUM(P270:P270)+489.04</f>
        <v>489.04</v>
      </c>
      <c r="Q269" s="24">
        <f t="shared" ref="Q269:X269" si="105">SUM(Q270:Q270)</f>
        <v>0</v>
      </c>
      <c r="R269" s="24">
        <f t="shared" si="105"/>
        <v>0</v>
      </c>
      <c r="S269" s="24">
        <f t="shared" si="105"/>
        <v>0</v>
      </c>
      <c r="T269" s="24">
        <f t="shared" si="105"/>
        <v>0</v>
      </c>
      <c r="U269" s="24">
        <f t="shared" si="105"/>
        <v>0</v>
      </c>
      <c r="V269" s="24">
        <f t="shared" si="105"/>
        <v>0</v>
      </c>
      <c r="W269" s="24">
        <f t="shared" si="105"/>
        <v>0</v>
      </c>
      <c r="X269" s="24">
        <f t="shared" si="105"/>
        <v>0</v>
      </c>
      <c r="Y269" s="23" t="s">
        <v>632</v>
      </c>
      <c r="Z269" s="25" t="s">
        <v>34</v>
      </c>
      <c r="AA269" s="25" t="s">
        <v>80</v>
      </c>
      <c r="AB269" s="25" t="s">
        <v>80</v>
      </c>
      <c r="AC269" s="26"/>
    </row>
    <row r="270" spans="1:29" ht="55.5" customHeight="1" x14ac:dyDescent="0.25">
      <c r="A270" s="21" t="s">
        <v>633</v>
      </c>
      <c r="B270" s="22" t="s">
        <v>634</v>
      </c>
      <c r="C270" s="23"/>
      <c r="D270" s="23" t="s">
        <v>608</v>
      </c>
      <c r="E270" s="27">
        <v>0</v>
      </c>
      <c r="F270" s="27">
        <v>0</v>
      </c>
      <c r="G270" s="27">
        <v>0</v>
      </c>
      <c r="H270" s="27">
        <v>0</v>
      </c>
      <c r="I270" s="27">
        <v>0</v>
      </c>
      <c r="J270" s="27">
        <v>0</v>
      </c>
      <c r="K270" s="27">
        <v>0</v>
      </c>
      <c r="L270" s="27">
        <v>0</v>
      </c>
      <c r="M270" s="27">
        <v>0</v>
      </c>
      <c r="N270" s="27">
        <v>0</v>
      </c>
      <c r="O270" s="27">
        <v>0</v>
      </c>
      <c r="P270" s="27">
        <v>0</v>
      </c>
      <c r="Q270" s="27">
        <v>0</v>
      </c>
      <c r="R270" s="27">
        <v>0</v>
      </c>
      <c r="S270" s="27">
        <v>0</v>
      </c>
      <c r="T270" s="27">
        <v>0</v>
      </c>
      <c r="U270" s="27">
        <v>0</v>
      </c>
      <c r="V270" s="27">
        <v>0</v>
      </c>
      <c r="W270" s="27">
        <v>0</v>
      </c>
      <c r="X270" s="27">
        <v>0</v>
      </c>
      <c r="Y270" s="23"/>
      <c r="Z270" s="25"/>
      <c r="AA270" s="25"/>
      <c r="AB270" s="25"/>
      <c r="AC270" s="26"/>
    </row>
    <row r="271" spans="1:29" ht="68.25" customHeight="1" x14ac:dyDescent="0.25">
      <c r="A271" s="15" t="s">
        <v>635</v>
      </c>
      <c r="B271" s="16" t="s">
        <v>636</v>
      </c>
      <c r="C271" s="17"/>
      <c r="D271" s="17"/>
      <c r="E271" s="18">
        <f t="shared" ref="E271:X271" si="106">SUM(E272:E272)</f>
        <v>0</v>
      </c>
      <c r="F271" s="18">
        <f t="shared" si="106"/>
        <v>0</v>
      </c>
      <c r="G271" s="18">
        <f t="shared" si="106"/>
        <v>0</v>
      </c>
      <c r="H271" s="18">
        <f t="shared" si="106"/>
        <v>0</v>
      </c>
      <c r="I271" s="18">
        <f t="shared" si="106"/>
        <v>0</v>
      </c>
      <c r="J271" s="18">
        <f t="shared" si="106"/>
        <v>0</v>
      </c>
      <c r="K271" s="18">
        <f t="shared" si="106"/>
        <v>0</v>
      </c>
      <c r="L271" s="18">
        <f t="shared" si="106"/>
        <v>0</v>
      </c>
      <c r="M271" s="18">
        <f t="shared" si="106"/>
        <v>0</v>
      </c>
      <c r="N271" s="18">
        <f t="shared" si="106"/>
        <v>0</v>
      </c>
      <c r="O271" s="18">
        <f t="shared" si="106"/>
        <v>0</v>
      </c>
      <c r="P271" s="18">
        <f t="shared" si="106"/>
        <v>0</v>
      </c>
      <c r="Q271" s="18">
        <f t="shared" si="106"/>
        <v>0</v>
      </c>
      <c r="R271" s="18">
        <f t="shared" si="106"/>
        <v>0</v>
      </c>
      <c r="S271" s="18">
        <f t="shared" si="106"/>
        <v>0</v>
      </c>
      <c r="T271" s="18">
        <f t="shared" si="106"/>
        <v>0</v>
      </c>
      <c r="U271" s="18">
        <f t="shared" si="106"/>
        <v>0</v>
      </c>
      <c r="V271" s="18">
        <f t="shared" si="106"/>
        <v>0</v>
      </c>
      <c r="W271" s="18">
        <f t="shared" si="106"/>
        <v>0</v>
      </c>
      <c r="X271" s="18">
        <f t="shared" si="106"/>
        <v>0</v>
      </c>
      <c r="Y271" s="17"/>
      <c r="Z271" s="19"/>
      <c r="AA271" s="19"/>
      <c r="AB271" s="19"/>
      <c r="AC271" s="20"/>
    </row>
    <row r="272" spans="1:29" ht="67.5" customHeight="1" x14ac:dyDescent="0.25">
      <c r="A272" s="21" t="s">
        <v>637</v>
      </c>
      <c r="B272" s="22" t="s">
        <v>638</v>
      </c>
      <c r="C272" s="23"/>
      <c r="D272" s="23" t="s">
        <v>608</v>
      </c>
      <c r="E272" s="24">
        <f t="shared" ref="E272:X272" si="107">SUM(E273:E274)</f>
        <v>0</v>
      </c>
      <c r="F272" s="24">
        <f t="shared" si="107"/>
        <v>0</v>
      </c>
      <c r="G272" s="24">
        <f t="shared" si="107"/>
        <v>0</v>
      </c>
      <c r="H272" s="24">
        <f t="shared" si="107"/>
        <v>0</v>
      </c>
      <c r="I272" s="24">
        <f t="shared" si="107"/>
        <v>0</v>
      </c>
      <c r="J272" s="24">
        <f t="shared" si="107"/>
        <v>0</v>
      </c>
      <c r="K272" s="24">
        <f t="shared" si="107"/>
        <v>0</v>
      </c>
      <c r="L272" s="24">
        <f t="shared" si="107"/>
        <v>0</v>
      </c>
      <c r="M272" s="24">
        <f t="shared" si="107"/>
        <v>0</v>
      </c>
      <c r="N272" s="24">
        <f t="shared" si="107"/>
        <v>0</v>
      </c>
      <c r="O272" s="24">
        <f t="shared" si="107"/>
        <v>0</v>
      </c>
      <c r="P272" s="24">
        <f t="shared" si="107"/>
        <v>0</v>
      </c>
      <c r="Q272" s="24">
        <f t="shared" si="107"/>
        <v>0</v>
      </c>
      <c r="R272" s="24">
        <f t="shared" si="107"/>
        <v>0</v>
      </c>
      <c r="S272" s="24">
        <f t="shared" si="107"/>
        <v>0</v>
      </c>
      <c r="T272" s="24">
        <f t="shared" si="107"/>
        <v>0</v>
      </c>
      <c r="U272" s="24">
        <f t="shared" si="107"/>
        <v>0</v>
      </c>
      <c r="V272" s="24">
        <f t="shared" si="107"/>
        <v>0</v>
      </c>
      <c r="W272" s="24">
        <f t="shared" si="107"/>
        <v>0</v>
      </c>
      <c r="X272" s="24">
        <f t="shared" si="107"/>
        <v>0</v>
      </c>
      <c r="Y272" s="23" t="s">
        <v>639</v>
      </c>
      <c r="Z272" s="25" t="s">
        <v>34</v>
      </c>
      <c r="AA272" s="25" t="s">
        <v>640</v>
      </c>
      <c r="AB272" s="25" t="s">
        <v>640</v>
      </c>
      <c r="AC272" s="26" t="s">
        <v>641</v>
      </c>
    </row>
    <row r="273" spans="1:29" x14ac:dyDescent="0.25">
      <c r="A273" s="28"/>
      <c r="B273" s="29"/>
      <c r="C273" s="30"/>
      <c r="D273" s="30"/>
      <c r="E273" s="31">
        <v>0</v>
      </c>
      <c r="F273" s="31">
        <v>0</v>
      </c>
      <c r="G273" s="31">
        <v>0</v>
      </c>
      <c r="H273" s="31">
        <v>0</v>
      </c>
      <c r="I273" s="31">
        <v>0</v>
      </c>
      <c r="J273" s="31">
        <v>0</v>
      </c>
      <c r="K273" s="31">
        <v>0</v>
      </c>
      <c r="L273" s="31">
        <v>0</v>
      </c>
      <c r="M273" s="31">
        <v>0</v>
      </c>
      <c r="N273" s="31">
        <v>0</v>
      </c>
      <c r="O273" s="31">
        <v>0</v>
      </c>
      <c r="P273" s="31">
        <v>0</v>
      </c>
      <c r="Q273" s="31">
        <v>0</v>
      </c>
      <c r="R273" s="31">
        <v>0</v>
      </c>
      <c r="S273" s="31">
        <v>0</v>
      </c>
      <c r="T273" s="31">
        <v>0</v>
      </c>
      <c r="U273" s="31">
        <v>0</v>
      </c>
      <c r="V273" s="31">
        <v>0</v>
      </c>
      <c r="W273" s="31">
        <v>0</v>
      </c>
      <c r="X273" s="31">
        <v>0</v>
      </c>
      <c r="Y273" s="30" t="s">
        <v>642</v>
      </c>
      <c r="Z273" s="32" t="s">
        <v>34</v>
      </c>
      <c r="AA273" s="32" t="s">
        <v>48</v>
      </c>
      <c r="AB273" s="32" t="s">
        <v>48</v>
      </c>
      <c r="AC273" s="33" t="s">
        <v>643</v>
      </c>
    </row>
    <row r="274" spans="1:29" ht="33.75" customHeight="1" x14ac:dyDescent="0.25">
      <c r="A274" s="21" t="s">
        <v>644</v>
      </c>
      <c r="B274" s="22" t="s">
        <v>645</v>
      </c>
      <c r="C274" s="23"/>
      <c r="D274" s="23" t="s">
        <v>608</v>
      </c>
      <c r="E274" s="27">
        <v>0</v>
      </c>
      <c r="F274" s="27">
        <v>0</v>
      </c>
      <c r="G274" s="27">
        <v>0</v>
      </c>
      <c r="H274" s="27">
        <v>0</v>
      </c>
      <c r="I274" s="27">
        <v>0</v>
      </c>
      <c r="J274" s="27">
        <v>0</v>
      </c>
      <c r="K274" s="27">
        <v>0</v>
      </c>
      <c r="L274" s="27">
        <v>0</v>
      </c>
      <c r="M274" s="27">
        <v>0</v>
      </c>
      <c r="N274" s="27">
        <v>0</v>
      </c>
      <c r="O274" s="27">
        <v>0</v>
      </c>
      <c r="P274" s="27">
        <v>0</v>
      </c>
      <c r="Q274" s="27">
        <v>0</v>
      </c>
      <c r="R274" s="27">
        <v>0</v>
      </c>
      <c r="S274" s="27">
        <v>0</v>
      </c>
      <c r="T274" s="27">
        <v>0</v>
      </c>
      <c r="U274" s="27">
        <v>0</v>
      </c>
      <c r="V274" s="27">
        <v>0</v>
      </c>
      <c r="W274" s="27">
        <v>0</v>
      </c>
      <c r="X274" s="27">
        <v>0</v>
      </c>
      <c r="Y274" s="23"/>
      <c r="Z274" s="25"/>
      <c r="AA274" s="25"/>
      <c r="AB274" s="25"/>
      <c r="AC274" s="26"/>
    </row>
    <row r="275" spans="1:29" ht="75.75" customHeight="1" x14ac:dyDescent="0.25">
      <c r="A275" s="9" t="s">
        <v>646</v>
      </c>
      <c r="B275" s="10" t="s">
        <v>647</v>
      </c>
      <c r="C275" s="11"/>
      <c r="D275" s="11"/>
      <c r="E275" s="12">
        <f t="shared" ref="E275:X275" si="108">E276+E288</f>
        <v>101441</v>
      </c>
      <c r="F275" s="12">
        <f t="shared" si="108"/>
        <v>49691</v>
      </c>
      <c r="G275" s="12">
        <f t="shared" si="108"/>
        <v>0</v>
      </c>
      <c r="H275" s="12">
        <f t="shared" si="108"/>
        <v>0</v>
      </c>
      <c r="I275" s="12">
        <f t="shared" si="108"/>
        <v>0</v>
      </c>
      <c r="J275" s="12">
        <f t="shared" si="108"/>
        <v>0</v>
      </c>
      <c r="K275" s="12">
        <f t="shared" si="108"/>
        <v>0</v>
      </c>
      <c r="L275" s="12">
        <f t="shared" si="108"/>
        <v>51750</v>
      </c>
      <c r="M275" s="12">
        <f t="shared" si="108"/>
        <v>0</v>
      </c>
      <c r="N275" s="12">
        <f t="shared" si="108"/>
        <v>0</v>
      </c>
      <c r="O275" s="12">
        <f t="shared" si="108"/>
        <v>101405.84</v>
      </c>
      <c r="P275" s="12">
        <f t="shared" si="108"/>
        <v>49688.639999999999</v>
      </c>
      <c r="Q275" s="12">
        <f t="shared" si="108"/>
        <v>0</v>
      </c>
      <c r="R275" s="12">
        <f t="shared" si="108"/>
        <v>0</v>
      </c>
      <c r="S275" s="12">
        <f t="shared" si="108"/>
        <v>0</v>
      </c>
      <c r="T275" s="12">
        <f t="shared" si="108"/>
        <v>0</v>
      </c>
      <c r="U275" s="12">
        <f t="shared" si="108"/>
        <v>0</v>
      </c>
      <c r="V275" s="12">
        <f t="shared" si="108"/>
        <v>51717.2</v>
      </c>
      <c r="W275" s="12">
        <f t="shared" si="108"/>
        <v>0</v>
      </c>
      <c r="X275" s="12">
        <f t="shared" si="108"/>
        <v>0</v>
      </c>
      <c r="Y275" s="11"/>
      <c r="Z275" s="13"/>
      <c r="AA275" s="13"/>
      <c r="AB275" s="13"/>
      <c r="AC275" s="14"/>
    </row>
    <row r="276" spans="1:29" ht="78" customHeight="1" x14ac:dyDescent="0.25">
      <c r="A276" s="15" t="s">
        <v>648</v>
      </c>
      <c r="B276" s="16" t="s">
        <v>649</v>
      </c>
      <c r="C276" s="17"/>
      <c r="D276" s="17"/>
      <c r="E276" s="18">
        <f t="shared" ref="E276:X276" si="109">E277+E282+E285</f>
        <v>92690</v>
      </c>
      <c r="F276" s="18">
        <f t="shared" si="109"/>
        <v>40940</v>
      </c>
      <c r="G276" s="18">
        <f t="shared" si="109"/>
        <v>0</v>
      </c>
      <c r="H276" s="18">
        <f t="shared" si="109"/>
        <v>0</v>
      </c>
      <c r="I276" s="18">
        <f t="shared" si="109"/>
        <v>0</v>
      </c>
      <c r="J276" s="18">
        <f t="shared" si="109"/>
        <v>0</v>
      </c>
      <c r="K276" s="18">
        <f t="shared" si="109"/>
        <v>0</v>
      </c>
      <c r="L276" s="18">
        <f t="shared" si="109"/>
        <v>51750</v>
      </c>
      <c r="M276" s="18">
        <f t="shared" si="109"/>
        <v>0</v>
      </c>
      <c r="N276" s="18">
        <f t="shared" si="109"/>
        <v>0</v>
      </c>
      <c r="O276" s="18">
        <f t="shared" si="109"/>
        <v>92598.75</v>
      </c>
      <c r="P276" s="18">
        <f t="shared" si="109"/>
        <v>40881.550000000003</v>
      </c>
      <c r="Q276" s="18">
        <f t="shared" si="109"/>
        <v>0</v>
      </c>
      <c r="R276" s="18">
        <f t="shared" si="109"/>
        <v>0</v>
      </c>
      <c r="S276" s="18">
        <f t="shared" si="109"/>
        <v>0</v>
      </c>
      <c r="T276" s="18">
        <f t="shared" si="109"/>
        <v>0</v>
      </c>
      <c r="U276" s="18">
        <f t="shared" si="109"/>
        <v>0</v>
      </c>
      <c r="V276" s="18">
        <f t="shared" si="109"/>
        <v>51717.2</v>
      </c>
      <c r="W276" s="18">
        <f t="shared" si="109"/>
        <v>0</v>
      </c>
      <c r="X276" s="18">
        <f t="shared" si="109"/>
        <v>0</v>
      </c>
      <c r="Y276" s="17"/>
      <c r="Z276" s="19"/>
      <c r="AA276" s="19"/>
      <c r="AB276" s="19"/>
      <c r="AC276" s="20"/>
    </row>
    <row r="277" spans="1:29" ht="80.25" customHeight="1" x14ac:dyDescent="0.25">
      <c r="A277" s="21" t="s">
        <v>650</v>
      </c>
      <c r="B277" s="22" t="s">
        <v>651</v>
      </c>
      <c r="C277" s="23" t="s">
        <v>25</v>
      </c>
      <c r="D277" s="23" t="s">
        <v>652</v>
      </c>
      <c r="E277" s="24">
        <f>SUM(E278:E281)+82400</f>
        <v>82400</v>
      </c>
      <c r="F277" s="24">
        <f>SUM(F278:F281)+30650</f>
        <v>30650</v>
      </c>
      <c r="G277" s="24">
        <f>SUM(G278:G281)</f>
        <v>0</v>
      </c>
      <c r="H277" s="24">
        <f>SUM(H278:H281)</f>
        <v>0</v>
      </c>
      <c r="I277" s="24">
        <f>SUM(I278:I281)</f>
        <v>0</v>
      </c>
      <c r="J277" s="24">
        <f>SUM(J278:J281)</f>
        <v>0</v>
      </c>
      <c r="K277" s="24">
        <f>SUM(K278:K281)</f>
        <v>0</v>
      </c>
      <c r="L277" s="24">
        <f>SUM(L278:L281)+51750</f>
        <v>51750</v>
      </c>
      <c r="M277" s="24">
        <f>SUM(M278:M281)</f>
        <v>0</v>
      </c>
      <c r="N277" s="24">
        <f>SUM(N278:N281)</f>
        <v>0</v>
      </c>
      <c r="O277" s="24">
        <f>SUM(O278:O281)+82308.75</f>
        <v>82308.75</v>
      </c>
      <c r="P277" s="24">
        <f>SUM(P278:P281)+30591.55</f>
        <v>30591.55</v>
      </c>
      <c r="Q277" s="24">
        <f>SUM(Q278:Q281)</f>
        <v>0</v>
      </c>
      <c r="R277" s="24">
        <f>SUM(R278:R281)</f>
        <v>0</v>
      </c>
      <c r="S277" s="24">
        <f>SUM(S278:S281)</f>
        <v>0</v>
      </c>
      <c r="T277" s="24">
        <f>SUM(T278:T281)</f>
        <v>0</v>
      </c>
      <c r="U277" s="24">
        <f>SUM(U278:U281)</f>
        <v>0</v>
      </c>
      <c r="V277" s="24">
        <f>SUM(V278:V281)+51717.2</f>
        <v>51717.2</v>
      </c>
      <c r="W277" s="24">
        <f>SUM(W278:W281)</f>
        <v>0</v>
      </c>
      <c r="X277" s="24">
        <f>SUM(X278:X281)</f>
        <v>0</v>
      </c>
      <c r="Y277" s="23" t="s">
        <v>653</v>
      </c>
      <c r="Z277" s="25" t="s">
        <v>34</v>
      </c>
      <c r="AA277" s="25" t="s">
        <v>42</v>
      </c>
      <c r="AB277" s="25" t="s">
        <v>42</v>
      </c>
      <c r="AC277" s="26"/>
    </row>
    <row r="278" spans="1:29" x14ac:dyDescent="0.25">
      <c r="A278" s="28"/>
      <c r="B278" s="29"/>
      <c r="C278" s="30"/>
      <c r="D278" s="30"/>
      <c r="E278" s="31">
        <v>0</v>
      </c>
      <c r="F278" s="31">
        <v>0</v>
      </c>
      <c r="G278" s="31">
        <v>0</v>
      </c>
      <c r="H278" s="31">
        <v>0</v>
      </c>
      <c r="I278" s="31">
        <v>0</v>
      </c>
      <c r="J278" s="31">
        <v>0</v>
      </c>
      <c r="K278" s="31">
        <v>0</v>
      </c>
      <c r="L278" s="31">
        <v>0</v>
      </c>
      <c r="M278" s="31">
        <v>0</v>
      </c>
      <c r="N278" s="31">
        <v>0</v>
      </c>
      <c r="O278" s="31">
        <v>0</v>
      </c>
      <c r="P278" s="31">
        <v>0</v>
      </c>
      <c r="Q278" s="31">
        <v>0</v>
      </c>
      <c r="R278" s="31">
        <v>0</v>
      </c>
      <c r="S278" s="31">
        <v>0</v>
      </c>
      <c r="T278" s="31">
        <v>0</v>
      </c>
      <c r="U278" s="31">
        <v>0</v>
      </c>
      <c r="V278" s="31">
        <v>0</v>
      </c>
      <c r="W278" s="31">
        <v>0</v>
      </c>
      <c r="X278" s="31">
        <v>0</v>
      </c>
      <c r="Y278" s="30" t="s">
        <v>654</v>
      </c>
      <c r="Z278" s="32" t="s">
        <v>34</v>
      </c>
      <c r="AA278" s="32" t="s">
        <v>48</v>
      </c>
      <c r="AB278" s="32" t="s">
        <v>42</v>
      </c>
      <c r="AC278" s="33"/>
    </row>
    <row r="279" spans="1:29" ht="30" customHeight="1" x14ac:dyDescent="0.25">
      <c r="A279" s="28"/>
      <c r="B279" s="29"/>
      <c r="C279" s="30"/>
      <c r="D279" s="30"/>
      <c r="E279" s="31">
        <v>0</v>
      </c>
      <c r="F279" s="31">
        <v>0</v>
      </c>
      <c r="G279" s="31">
        <v>0</v>
      </c>
      <c r="H279" s="31">
        <v>0</v>
      </c>
      <c r="I279" s="31">
        <v>0</v>
      </c>
      <c r="J279" s="31">
        <v>0</v>
      </c>
      <c r="K279" s="31">
        <v>0</v>
      </c>
      <c r="L279" s="31">
        <v>0</v>
      </c>
      <c r="M279" s="31">
        <v>0</v>
      </c>
      <c r="N279" s="31">
        <v>0</v>
      </c>
      <c r="O279" s="31">
        <v>0</v>
      </c>
      <c r="P279" s="31">
        <v>0</v>
      </c>
      <c r="Q279" s="31">
        <v>0</v>
      </c>
      <c r="R279" s="31">
        <v>0</v>
      </c>
      <c r="S279" s="31">
        <v>0</v>
      </c>
      <c r="T279" s="31">
        <v>0</v>
      </c>
      <c r="U279" s="31">
        <v>0</v>
      </c>
      <c r="V279" s="31">
        <v>0</v>
      </c>
      <c r="W279" s="31">
        <v>0</v>
      </c>
      <c r="X279" s="31">
        <v>0</v>
      </c>
      <c r="Y279" s="30" t="s">
        <v>198</v>
      </c>
      <c r="Z279" s="32" t="s">
        <v>34</v>
      </c>
      <c r="AA279" s="32" t="s">
        <v>42</v>
      </c>
      <c r="AB279" s="32" t="s">
        <v>48</v>
      </c>
      <c r="AC279" s="33" t="s">
        <v>655</v>
      </c>
    </row>
    <row r="280" spans="1:29" ht="50.25" customHeight="1" x14ac:dyDescent="0.25">
      <c r="A280" s="21" t="s">
        <v>656</v>
      </c>
      <c r="B280" s="22" t="s">
        <v>657</v>
      </c>
      <c r="C280" s="23"/>
      <c r="D280" s="23" t="s">
        <v>652</v>
      </c>
      <c r="E280" s="27">
        <v>0</v>
      </c>
      <c r="F280" s="27">
        <v>0</v>
      </c>
      <c r="G280" s="27">
        <v>0</v>
      </c>
      <c r="H280" s="27">
        <v>0</v>
      </c>
      <c r="I280" s="27">
        <v>0</v>
      </c>
      <c r="J280" s="27">
        <v>0</v>
      </c>
      <c r="K280" s="27">
        <v>0</v>
      </c>
      <c r="L280" s="27">
        <v>0</v>
      </c>
      <c r="M280" s="27">
        <v>0</v>
      </c>
      <c r="N280" s="27">
        <v>0</v>
      </c>
      <c r="O280" s="27">
        <v>0</v>
      </c>
      <c r="P280" s="27">
        <v>0</v>
      </c>
      <c r="Q280" s="27">
        <v>0</v>
      </c>
      <c r="R280" s="27">
        <v>0</v>
      </c>
      <c r="S280" s="27">
        <v>0</v>
      </c>
      <c r="T280" s="27">
        <v>0</v>
      </c>
      <c r="U280" s="27">
        <v>0</v>
      </c>
      <c r="V280" s="27">
        <v>0</v>
      </c>
      <c r="W280" s="27">
        <v>0</v>
      </c>
      <c r="X280" s="27">
        <v>0</v>
      </c>
      <c r="Y280" s="23"/>
      <c r="Z280" s="25"/>
      <c r="AA280" s="25"/>
      <c r="AB280" s="25"/>
      <c r="AC280" s="26"/>
    </row>
    <row r="281" spans="1:29" ht="59.25" customHeight="1" x14ac:dyDescent="0.25">
      <c r="A281" s="21" t="s">
        <v>658</v>
      </c>
      <c r="B281" s="22" t="s">
        <v>659</v>
      </c>
      <c r="C281" s="23"/>
      <c r="D281" s="23" t="s">
        <v>652</v>
      </c>
      <c r="E281" s="27">
        <v>0</v>
      </c>
      <c r="F281" s="27">
        <v>0</v>
      </c>
      <c r="G281" s="27">
        <v>0</v>
      </c>
      <c r="H281" s="27">
        <v>0</v>
      </c>
      <c r="I281" s="27">
        <v>0</v>
      </c>
      <c r="J281" s="27">
        <v>0</v>
      </c>
      <c r="K281" s="27">
        <v>0</v>
      </c>
      <c r="L281" s="27">
        <v>0</v>
      </c>
      <c r="M281" s="27">
        <v>0</v>
      </c>
      <c r="N281" s="27">
        <v>0</v>
      </c>
      <c r="O281" s="27">
        <v>0</v>
      </c>
      <c r="P281" s="27">
        <v>0</v>
      </c>
      <c r="Q281" s="27">
        <v>0</v>
      </c>
      <c r="R281" s="27">
        <v>0</v>
      </c>
      <c r="S281" s="27">
        <v>0</v>
      </c>
      <c r="T281" s="27">
        <v>0</v>
      </c>
      <c r="U281" s="27">
        <v>0</v>
      </c>
      <c r="V281" s="27">
        <v>0</v>
      </c>
      <c r="W281" s="27">
        <v>0</v>
      </c>
      <c r="X281" s="27">
        <v>0</v>
      </c>
      <c r="Y281" s="23"/>
      <c r="Z281" s="25"/>
      <c r="AA281" s="25"/>
      <c r="AB281" s="25"/>
      <c r="AC281" s="26"/>
    </row>
    <row r="282" spans="1:29" ht="54" customHeight="1" x14ac:dyDescent="0.25">
      <c r="A282" s="21" t="s">
        <v>660</v>
      </c>
      <c r="B282" s="22" t="s">
        <v>661</v>
      </c>
      <c r="C282" s="23"/>
      <c r="D282" s="23" t="s">
        <v>652</v>
      </c>
      <c r="E282" s="24">
        <f>SUM(E283:E284)+4600</f>
        <v>4600</v>
      </c>
      <c r="F282" s="24">
        <f>SUM(F283:F284)+4600</f>
        <v>4600</v>
      </c>
      <c r="G282" s="24">
        <f t="shared" ref="G282:N282" si="110">SUM(G283:G284)</f>
        <v>0</v>
      </c>
      <c r="H282" s="24">
        <f t="shared" si="110"/>
        <v>0</v>
      </c>
      <c r="I282" s="24">
        <f t="shared" si="110"/>
        <v>0</v>
      </c>
      <c r="J282" s="24">
        <f t="shared" si="110"/>
        <v>0</v>
      </c>
      <c r="K282" s="24">
        <f t="shared" si="110"/>
        <v>0</v>
      </c>
      <c r="L282" s="24">
        <f t="shared" si="110"/>
        <v>0</v>
      </c>
      <c r="M282" s="24">
        <f t="shared" si="110"/>
        <v>0</v>
      </c>
      <c r="N282" s="24">
        <f t="shared" si="110"/>
        <v>0</v>
      </c>
      <c r="O282" s="24">
        <f>SUM(O283:O284)+4600</f>
        <v>4600</v>
      </c>
      <c r="P282" s="24">
        <f>SUM(P283:P284)+4600</f>
        <v>4600</v>
      </c>
      <c r="Q282" s="24">
        <f t="shared" ref="Q282:X282" si="111">SUM(Q283:Q284)</f>
        <v>0</v>
      </c>
      <c r="R282" s="24">
        <f t="shared" si="111"/>
        <v>0</v>
      </c>
      <c r="S282" s="24">
        <f t="shared" si="111"/>
        <v>0</v>
      </c>
      <c r="T282" s="24">
        <f t="shared" si="111"/>
        <v>0</v>
      </c>
      <c r="U282" s="24">
        <f t="shared" si="111"/>
        <v>0</v>
      </c>
      <c r="V282" s="24">
        <f t="shared" si="111"/>
        <v>0</v>
      </c>
      <c r="W282" s="24">
        <f t="shared" si="111"/>
        <v>0</v>
      </c>
      <c r="X282" s="24">
        <f t="shared" si="111"/>
        <v>0</v>
      </c>
      <c r="Y282" s="23" t="s">
        <v>662</v>
      </c>
      <c r="Z282" s="25" t="s">
        <v>34</v>
      </c>
      <c r="AA282" s="25" t="s">
        <v>42</v>
      </c>
      <c r="AB282" s="25" t="s">
        <v>42</v>
      </c>
      <c r="AC282" s="26"/>
    </row>
    <row r="283" spans="1:29" ht="27.75" customHeight="1" x14ac:dyDescent="0.25">
      <c r="A283" s="21" t="s">
        <v>663</v>
      </c>
      <c r="B283" s="22" t="s">
        <v>664</v>
      </c>
      <c r="C283" s="23"/>
      <c r="D283" s="23" t="s">
        <v>652</v>
      </c>
      <c r="E283" s="27">
        <v>0</v>
      </c>
      <c r="F283" s="27">
        <v>0</v>
      </c>
      <c r="G283" s="27">
        <v>0</v>
      </c>
      <c r="H283" s="27">
        <v>0</v>
      </c>
      <c r="I283" s="27">
        <v>0</v>
      </c>
      <c r="J283" s="27">
        <v>0</v>
      </c>
      <c r="K283" s="27">
        <v>0</v>
      </c>
      <c r="L283" s="27">
        <v>0</v>
      </c>
      <c r="M283" s="27">
        <v>0</v>
      </c>
      <c r="N283" s="27">
        <v>0</v>
      </c>
      <c r="O283" s="27">
        <v>0</v>
      </c>
      <c r="P283" s="27">
        <v>0</v>
      </c>
      <c r="Q283" s="27">
        <v>0</v>
      </c>
      <c r="R283" s="27">
        <v>0</v>
      </c>
      <c r="S283" s="27">
        <v>0</v>
      </c>
      <c r="T283" s="27">
        <v>0</v>
      </c>
      <c r="U283" s="27">
        <v>0</v>
      </c>
      <c r="V283" s="27">
        <v>0</v>
      </c>
      <c r="W283" s="27">
        <v>0</v>
      </c>
      <c r="X283" s="27">
        <v>0</v>
      </c>
      <c r="Y283" s="23"/>
      <c r="Z283" s="25"/>
      <c r="AA283" s="25"/>
      <c r="AB283" s="25"/>
      <c r="AC283" s="26"/>
    </row>
    <row r="284" spans="1:29" ht="31.5" customHeight="1" x14ac:dyDescent="0.25">
      <c r="A284" s="21" t="s">
        <v>665</v>
      </c>
      <c r="B284" s="22" t="s">
        <v>666</v>
      </c>
      <c r="C284" s="23"/>
      <c r="D284" s="23" t="s">
        <v>652</v>
      </c>
      <c r="E284" s="27">
        <v>0</v>
      </c>
      <c r="F284" s="27">
        <v>0</v>
      </c>
      <c r="G284" s="27">
        <v>0</v>
      </c>
      <c r="H284" s="27">
        <v>0</v>
      </c>
      <c r="I284" s="27">
        <v>0</v>
      </c>
      <c r="J284" s="27">
        <v>0</v>
      </c>
      <c r="K284" s="27">
        <v>0</v>
      </c>
      <c r="L284" s="27">
        <v>0</v>
      </c>
      <c r="M284" s="27">
        <v>0</v>
      </c>
      <c r="N284" s="27">
        <v>0</v>
      </c>
      <c r="O284" s="27">
        <v>0</v>
      </c>
      <c r="P284" s="27">
        <v>0</v>
      </c>
      <c r="Q284" s="27">
        <v>0</v>
      </c>
      <c r="R284" s="27">
        <v>0</v>
      </c>
      <c r="S284" s="27">
        <v>0</v>
      </c>
      <c r="T284" s="27">
        <v>0</v>
      </c>
      <c r="U284" s="27">
        <v>0</v>
      </c>
      <c r="V284" s="27">
        <v>0</v>
      </c>
      <c r="W284" s="27">
        <v>0</v>
      </c>
      <c r="X284" s="27">
        <v>0</v>
      </c>
      <c r="Y284" s="23"/>
      <c r="Z284" s="25"/>
      <c r="AA284" s="25"/>
      <c r="AB284" s="25"/>
      <c r="AC284" s="26"/>
    </row>
    <row r="285" spans="1:29" ht="69" customHeight="1" x14ac:dyDescent="0.25">
      <c r="A285" s="21" t="s">
        <v>667</v>
      </c>
      <c r="B285" s="22" t="s">
        <v>668</v>
      </c>
      <c r="C285" s="23"/>
      <c r="D285" s="23" t="s">
        <v>652</v>
      </c>
      <c r="E285" s="24">
        <f>SUM(E286:E287)+5690</f>
        <v>5690</v>
      </c>
      <c r="F285" s="24">
        <f>SUM(F286:F287)+5690</f>
        <v>5690</v>
      </c>
      <c r="G285" s="24">
        <f t="shared" ref="G285:N285" si="112">SUM(G286:G287)</f>
        <v>0</v>
      </c>
      <c r="H285" s="24">
        <f t="shared" si="112"/>
        <v>0</v>
      </c>
      <c r="I285" s="24">
        <f t="shared" si="112"/>
        <v>0</v>
      </c>
      <c r="J285" s="24">
        <f t="shared" si="112"/>
        <v>0</v>
      </c>
      <c r="K285" s="24">
        <f t="shared" si="112"/>
        <v>0</v>
      </c>
      <c r="L285" s="24">
        <f t="shared" si="112"/>
        <v>0</v>
      </c>
      <c r="M285" s="24">
        <f t="shared" si="112"/>
        <v>0</v>
      </c>
      <c r="N285" s="24">
        <f t="shared" si="112"/>
        <v>0</v>
      </c>
      <c r="O285" s="24">
        <f>SUM(O286:O287)+5690</f>
        <v>5690</v>
      </c>
      <c r="P285" s="24">
        <f>SUM(P286:P287)+5690</f>
        <v>5690</v>
      </c>
      <c r="Q285" s="24">
        <f t="shared" ref="Q285:X285" si="113">SUM(Q286:Q287)</f>
        <v>0</v>
      </c>
      <c r="R285" s="24">
        <f t="shared" si="113"/>
        <v>0</v>
      </c>
      <c r="S285" s="24">
        <f t="shared" si="113"/>
        <v>0</v>
      </c>
      <c r="T285" s="24">
        <f t="shared" si="113"/>
        <v>0</v>
      </c>
      <c r="U285" s="24">
        <f t="shared" si="113"/>
        <v>0</v>
      </c>
      <c r="V285" s="24">
        <f t="shared" si="113"/>
        <v>0</v>
      </c>
      <c r="W285" s="24">
        <f t="shared" si="113"/>
        <v>0</v>
      </c>
      <c r="X285" s="24">
        <f t="shared" si="113"/>
        <v>0</v>
      </c>
      <c r="Y285" s="23" t="s">
        <v>662</v>
      </c>
      <c r="Z285" s="25" t="s">
        <v>34</v>
      </c>
      <c r="AA285" s="25" t="s">
        <v>42</v>
      </c>
      <c r="AB285" s="25" t="s">
        <v>42</v>
      </c>
      <c r="AC285" s="26"/>
    </row>
    <row r="286" spans="1:29" ht="48" customHeight="1" x14ac:dyDescent="0.25">
      <c r="A286" s="21" t="s">
        <v>669</v>
      </c>
      <c r="B286" s="22" t="s">
        <v>670</v>
      </c>
      <c r="C286" s="23"/>
      <c r="D286" s="23" t="s">
        <v>652</v>
      </c>
      <c r="E286" s="27">
        <v>0</v>
      </c>
      <c r="F286" s="27">
        <v>0</v>
      </c>
      <c r="G286" s="27">
        <v>0</v>
      </c>
      <c r="H286" s="27">
        <v>0</v>
      </c>
      <c r="I286" s="27">
        <v>0</v>
      </c>
      <c r="J286" s="27">
        <v>0</v>
      </c>
      <c r="K286" s="27">
        <v>0</v>
      </c>
      <c r="L286" s="27">
        <v>0</v>
      </c>
      <c r="M286" s="27">
        <v>0</v>
      </c>
      <c r="N286" s="27">
        <v>0</v>
      </c>
      <c r="O286" s="27">
        <v>0</v>
      </c>
      <c r="P286" s="27">
        <v>0</v>
      </c>
      <c r="Q286" s="27">
        <v>0</v>
      </c>
      <c r="R286" s="27">
        <v>0</v>
      </c>
      <c r="S286" s="27">
        <v>0</v>
      </c>
      <c r="T286" s="27">
        <v>0</v>
      </c>
      <c r="U286" s="27">
        <v>0</v>
      </c>
      <c r="V286" s="27">
        <v>0</v>
      </c>
      <c r="W286" s="27">
        <v>0</v>
      </c>
      <c r="X286" s="27">
        <v>0</v>
      </c>
      <c r="Y286" s="23"/>
      <c r="Z286" s="25"/>
      <c r="AA286" s="25"/>
      <c r="AB286" s="25"/>
      <c r="AC286" s="26"/>
    </row>
    <row r="287" spans="1:29" ht="48" customHeight="1" x14ac:dyDescent="0.25">
      <c r="A287" s="21" t="s">
        <v>671</v>
      </c>
      <c r="B287" s="22" t="s">
        <v>672</v>
      </c>
      <c r="C287" s="23"/>
      <c r="D287" s="23" t="s">
        <v>652</v>
      </c>
      <c r="E287" s="27">
        <v>0</v>
      </c>
      <c r="F287" s="27">
        <v>0</v>
      </c>
      <c r="G287" s="27">
        <v>0</v>
      </c>
      <c r="H287" s="27">
        <v>0</v>
      </c>
      <c r="I287" s="27">
        <v>0</v>
      </c>
      <c r="J287" s="27">
        <v>0</v>
      </c>
      <c r="K287" s="27">
        <v>0</v>
      </c>
      <c r="L287" s="27">
        <v>0</v>
      </c>
      <c r="M287" s="27">
        <v>0</v>
      </c>
      <c r="N287" s="27">
        <v>0</v>
      </c>
      <c r="O287" s="27">
        <v>0</v>
      </c>
      <c r="P287" s="27">
        <v>0</v>
      </c>
      <c r="Q287" s="27">
        <v>0</v>
      </c>
      <c r="R287" s="27">
        <v>0</v>
      </c>
      <c r="S287" s="27">
        <v>0</v>
      </c>
      <c r="T287" s="27">
        <v>0</v>
      </c>
      <c r="U287" s="27">
        <v>0</v>
      </c>
      <c r="V287" s="27">
        <v>0</v>
      </c>
      <c r="W287" s="27">
        <v>0</v>
      </c>
      <c r="X287" s="27">
        <v>0</v>
      </c>
      <c r="Y287" s="23"/>
      <c r="Z287" s="25"/>
      <c r="AA287" s="25"/>
      <c r="AB287" s="25"/>
      <c r="AC287" s="26"/>
    </row>
    <row r="288" spans="1:29" ht="50.25" customHeight="1" x14ac:dyDescent="0.25">
      <c r="A288" s="15" t="s">
        <v>673</v>
      </c>
      <c r="B288" s="16" t="s">
        <v>674</v>
      </c>
      <c r="C288" s="17"/>
      <c r="D288" s="17"/>
      <c r="E288" s="18">
        <f t="shared" ref="E288:X288" si="114">SUM(E289:E289)</f>
        <v>8751</v>
      </c>
      <c r="F288" s="18">
        <f t="shared" si="114"/>
        <v>8751</v>
      </c>
      <c r="G288" s="18">
        <f t="shared" si="114"/>
        <v>0</v>
      </c>
      <c r="H288" s="18">
        <f t="shared" si="114"/>
        <v>0</v>
      </c>
      <c r="I288" s="18">
        <f t="shared" si="114"/>
        <v>0</v>
      </c>
      <c r="J288" s="18">
        <f t="shared" si="114"/>
        <v>0</v>
      </c>
      <c r="K288" s="18">
        <f t="shared" si="114"/>
        <v>0</v>
      </c>
      <c r="L288" s="18">
        <f t="shared" si="114"/>
        <v>0</v>
      </c>
      <c r="M288" s="18">
        <f t="shared" si="114"/>
        <v>0</v>
      </c>
      <c r="N288" s="18">
        <f t="shared" si="114"/>
        <v>0</v>
      </c>
      <c r="O288" s="18">
        <f t="shared" si="114"/>
        <v>8807.09</v>
      </c>
      <c r="P288" s="18">
        <f t="shared" si="114"/>
        <v>8807.09</v>
      </c>
      <c r="Q288" s="18">
        <f t="shared" si="114"/>
        <v>0</v>
      </c>
      <c r="R288" s="18">
        <f t="shared" si="114"/>
        <v>0</v>
      </c>
      <c r="S288" s="18">
        <f t="shared" si="114"/>
        <v>0</v>
      </c>
      <c r="T288" s="18">
        <f t="shared" si="114"/>
        <v>0</v>
      </c>
      <c r="U288" s="18">
        <f t="shared" si="114"/>
        <v>0</v>
      </c>
      <c r="V288" s="18">
        <f t="shared" si="114"/>
        <v>0</v>
      </c>
      <c r="W288" s="18">
        <f t="shared" si="114"/>
        <v>0</v>
      </c>
      <c r="X288" s="18">
        <f t="shared" si="114"/>
        <v>0</v>
      </c>
      <c r="Y288" s="17"/>
      <c r="Z288" s="19"/>
      <c r="AA288" s="19"/>
      <c r="AB288" s="19"/>
      <c r="AC288" s="20"/>
    </row>
    <row r="289" spans="1:29" ht="54" customHeight="1" x14ac:dyDescent="0.25">
      <c r="A289" s="21" t="s">
        <v>675</v>
      </c>
      <c r="B289" s="22" t="s">
        <v>676</v>
      </c>
      <c r="C289" s="23"/>
      <c r="D289" s="23" t="s">
        <v>652</v>
      </c>
      <c r="E289" s="24">
        <f>SUM(E290:E295)+8751</f>
        <v>8751</v>
      </c>
      <c r="F289" s="24">
        <f>SUM(F290:F295)+8751</f>
        <v>8751</v>
      </c>
      <c r="G289" s="24">
        <f t="shared" ref="G289:N289" si="115">SUM(G290:G295)</f>
        <v>0</v>
      </c>
      <c r="H289" s="24">
        <f t="shared" si="115"/>
        <v>0</v>
      </c>
      <c r="I289" s="24">
        <f t="shared" si="115"/>
        <v>0</v>
      </c>
      <c r="J289" s="24">
        <f t="shared" si="115"/>
        <v>0</v>
      </c>
      <c r="K289" s="24">
        <f t="shared" si="115"/>
        <v>0</v>
      </c>
      <c r="L289" s="24">
        <f t="shared" si="115"/>
        <v>0</v>
      </c>
      <c r="M289" s="24">
        <f t="shared" si="115"/>
        <v>0</v>
      </c>
      <c r="N289" s="24">
        <f t="shared" si="115"/>
        <v>0</v>
      </c>
      <c r="O289" s="24">
        <f>SUM(O290:O295)+8807.09</f>
        <v>8807.09</v>
      </c>
      <c r="P289" s="24">
        <f>SUM(P290:P295)+8807.09</f>
        <v>8807.09</v>
      </c>
      <c r="Q289" s="24">
        <f t="shared" ref="Q289:X289" si="116">SUM(Q290:Q295)</f>
        <v>0</v>
      </c>
      <c r="R289" s="24">
        <f t="shared" si="116"/>
        <v>0</v>
      </c>
      <c r="S289" s="24">
        <f t="shared" si="116"/>
        <v>0</v>
      </c>
      <c r="T289" s="24">
        <f t="shared" si="116"/>
        <v>0</v>
      </c>
      <c r="U289" s="24">
        <f t="shared" si="116"/>
        <v>0</v>
      </c>
      <c r="V289" s="24">
        <f t="shared" si="116"/>
        <v>0</v>
      </c>
      <c r="W289" s="24">
        <f t="shared" si="116"/>
        <v>0</v>
      </c>
      <c r="X289" s="24">
        <f t="shared" si="116"/>
        <v>0</v>
      </c>
      <c r="Y289" s="23" t="s">
        <v>677</v>
      </c>
      <c r="Z289" s="25" t="s">
        <v>34</v>
      </c>
      <c r="AA289" s="25" t="s">
        <v>42</v>
      </c>
      <c r="AB289" s="25" t="s">
        <v>42</v>
      </c>
      <c r="AC289" s="26"/>
    </row>
    <row r="290" spans="1:29" ht="24" customHeight="1" x14ac:dyDescent="0.25">
      <c r="A290" s="28"/>
      <c r="B290" s="29"/>
      <c r="C290" s="30"/>
      <c r="D290" s="30"/>
      <c r="E290" s="31">
        <v>0</v>
      </c>
      <c r="F290" s="31">
        <v>0</v>
      </c>
      <c r="G290" s="31">
        <v>0</v>
      </c>
      <c r="H290" s="31">
        <v>0</v>
      </c>
      <c r="I290" s="31">
        <v>0</v>
      </c>
      <c r="J290" s="31">
        <v>0</v>
      </c>
      <c r="K290" s="31">
        <v>0</v>
      </c>
      <c r="L290" s="31">
        <v>0</v>
      </c>
      <c r="M290" s="31">
        <v>0</v>
      </c>
      <c r="N290" s="31">
        <v>0</v>
      </c>
      <c r="O290" s="31">
        <v>0</v>
      </c>
      <c r="P290" s="31">
        <v>0</v>
      </c>
      <c r="Q290" s="31">
        <v>0</v>
      </c>
      <c r="R290" s="31">
        <v>0</v>
      </c>
      <c r="S290" s="31">
        <v>0</v>
      </c>
      <c r="T290" s="31">
        <v>0</v>
      </c>
      <c r="U290" s="31">
        <v>0</v>
      </c>
      <c r="V290" s="31">
        <v>0</v>
      </c>
      <c r="W290" s="31">
        <v>0</v>
      </c>
      <c r="X290" s="31">
        <v>0</v>
      </c>
      <c r="Y290" s="30" t="s">
        <v>678</v>
      </c>
      <c r="Z290" s="32" t="s">
        <v>34</v>
      </c>
      <c r="AA290" s="32" t="s">
        <v>159</v>
      </c>
      <c r="AB290" s="32" t="s">
        <v>159</v>
      </c>
      <c r="AC290" s="33"/>
    </row>
    <row r="291" spans="1:29" ht="57.75" customHeight="1" x14ac:dyDescent="0.25">
      <c r="A291" s="21" t="s">
        <v>679</v>
      </c>
      <c r="B291" s="22" t="s">
        <v>680</v>
      </c>
      <c r="C291" s="23"/>
      <c r="D291" s="23" t="s">
        <v>652</v>
      </c>
      <c r="E291" s="27">
        <v>0</v>
      </c>
      <c r="F291" s="27">
        <v>0</v>
      </c>
      <c r="G291" s="27">
        <v>0</v>
      </c>
      <c r="H291" s="27">
        <v>0</v>
      </c>
      <c r="I291" s="27">
        <v>0</v>
      </c>
      <c r="J291" s="27">
        <v>0</v>
      </c>
      <c r="K291" s="27">
        <v>0</v>
      </c>
      <c r="L291" s="27">
        <v>0</v>
      </c>
      <c r="M291" s="27">
        <v>0</v>
      </c>
      <c r="N291" s="27">
        <v>0</v>
      </c>
      <c r="O291" s="27">
        <v>0</v>
      </c>
      <c r="P291" s="27">
        <v>0</v>
      </c>
      <c r="Q291" s="27">
        <v>0</v>
      </c>
      <c r="R291" s="27">
        <v>0</v>
      </c>
      <c r="S291" s="27">
        <v>0</v>
      </c>
      <c r="T291" s="27">
        <v>0</v>
      </c>
      <c r="U291" s="27">
        <v>0</v>
      </c>
      <c r="V291" s="27">
        <v>0</v>
      </c>
      <c r="W291" s="27">
        <v>0</v>
      </c>
      <c r="X291" s="27">
        <v>0</v>
      </c>
      <c r="Y291" s="23"/>
      <c r="Z291" s="25"/>
      <c r="AA291" s="25"/>
      <c r="AB291" s="25"/>
      <c r="AC291" s="26"/>
    </row>
    <row r="292" spans="1:29" ht="55.5" customHeight="1" x14ac:dyDescent="0.25">
      <c r="A292" s="21" t="s">
        <v>681</v>
      </c>
      <c r="B292" s="22" t="s">
        <v>682</v>
      </c>
      <c r="C292" s="23"/>
      <c r="D292" s="23" t="s">
        <v>652</v>
      </c>
      <c r="E292" s="27">
        <v>0</v>
      </c>
      <c r="F292" s="27">
        <v>0</v>
      </c>
      <c r="G292" s="27">
        <v>0</v>
      </c>
      <c r="H292" s="27">
        <v>0</v>
      </c>
      <c r="I292" s="27">
        <v>0</v>
      </c>
      <c r="J292" s="27">
        <v>0</v>
      </c>
      <c r="K292" s="27">
        <v>0</v>
      </c>
      <c r="L292" s="27">
        <v>0</v>
      </c>
      <c r="M292" s="27">
        <v>0</v>
      </c>
      <c r="N292" s="27">
        <v>0</v>
      </c>
      <c r="O292" s="27">
        <v>0</v>
      </c>
      <c r="P292" s="27">
        <v>0</v>
      </c>
      <c r="Q292" s="27">
        <v>0</v>
      </c>
      <c r="R292" s="27">
        <v>0</v>
      </c>
      <c r="S292" s="27">
        <v>0</v>
      </c>
      <c r="T292" s="27">
        <v>0</v>
      </c>
      <c r="U292" s="27">
        <v>0</v>
      </c>
      <c r="V292" s="27">
        <v>0</v>
      </c>
      <c r="W292" s="27">
        <v>0</v>
      </c>
      <c r="X292" s="27">
        <v>0</v>
      </c>
      <c r="Y292" s="23"/>
      <c r="Z292" s="25"/>
      <c r="AA292" s="25"/>
      <c r="AB292" s="25"/>
      <c r="AC292" s="26"/>
    </row>
    <row r="293" spans="1:29" ht="40.5" x14ac:dyDescent="0.25">
      <c r="A293" s="21" t="s">
        <v>683</v>
      </c>
      <c r="B293" s="22" t="s">
        <v>684</v>
      </c>
      <c r="C293" s="23"/>
      <c r="D293" s="23" t="s">
        <v>652</v>
      </c>
      <c r="E293" s="27">
        <v>0</v>
      </c>
      <c r="F293" s="27">
        <v>0</v>
      </c>
      <c r="G293" s="27">
        <v>0</v>
      </c>
      <c r="H293" s="27">
        <v>0</v>
      </c>
      <c r="I293" s="27">
        <v>0</v>
      </c>
      <c r="J293" s="27">
        <v>0</v>
      </c>
      <c r="K293" s="27">
        <v>0</v>
      </c>
      <c r="L293" s="27">
        <v>0</v>
      </c>
      <c r="M293" s="27">
        <v>0</v>
      </c>
      <c r="N293" s="27">
        <v>0</v>
      </c>
      <c r="O293" s="27">
        <v>0</v>
      </c>
      <c r="P293" s="27">
        <v>0</v>
      </c>
      <c r="Q293" s="27">
        <v>0</v>
      </c>
      <c r="R293" s="27">
        <v>0</v>
      </c>
      <c r="S293" s="27">
        <v>0</v>
      </c>
      <c r="T293" s="27">
        <v>0</v>
      </c>
      <c r="U293" s="27">
        <v>0</v>
      </c>
      <c r="V293" s="27">
        <v>0</v>
      </c>
      <c r="W293" s="27">
        <v>0</v>
      </c>
      <c r="X293" s="27">
        <v>0</v>
      </c>
      <c r="Y293" s="23"/>
      <c r="Z293" s="25"/>
      <c r="AA293" s="25"/>
      <c r="AB293" s="25"/>
      <c r="AC293" s="26"/>
    </row>
    <row r="294" spans="1:29" ht="50.25" customHeight="1" x14ac:dyDescent="0.25">
      <c r="A294" s="21" t="s">
        <v>685</v>
      </c>
      <c r="B294" s="22" t="s">
        <v>686</v>
      </c>
      <c r="C294" s="23"/>
      <c r="D294" s="23" t="s">
        <v>652</v>
      </c>
      <c r="E294" s="27">
        <v>0</v>
      </c>
      <c r="F294" s="27">
        <v>0</v>
      </c>
      <c r="G294" s="27">
        <v>0</v>
      </c>
      <c r="H294" s="27">
        <v>0</v>
      </c>
      <c r="I294" s="27">
        <v>0</v>
      </c>
      <c r="J294" s="27">
        <v>0</v>
      </c>
      <c r="K294" s="27">
        <v>0</v>
      </c>
      <c r="L294" s="27">
        <v>0</v>
      </c>
      <c r="M294" s="27">
        <v>0</v>
      </c>
      <c r="N294" s="27">
        <v>0</v>
      </c>
      <c r="O294" s="27">
        <v>0</v>
      </c>
      <c r="P294" s="27">
        <v>0</v>
      </c>
      <c r="Q294" s="27">
        <v>0</v>
      </c>
      <c r="R294" s="27">
        <v>0</v>
      </c>
      <c r="S294" s="27">
        <v>0</v>
      </c>
      <c r="T294" s="27">
        <v>0</v>
      </c>
      <c r="U294" s="27">
        <v>0</v>
      </c>
      <c r="V294" s="27">
        <v>0</v>
      </c>
      <c r="W294" s="27">
        <v>0</v>
      </c>
      <c r="X294" s="27">
        <v>0</v>
      </c>
      <c r="Y294" s="23"/>
      <c r="Z294" s="25"/>
      <c r="AA294" s="25"/>
      <c r="AB294" s="25"/>
      <c r="AC294" s="26"/>
    </row>
    <row r="295" spans="1:29" ht="50.25" customHeight="1" x14ac:dyDescent="0.25">
      <c r="A295" s="21" t="s">
        <v>687</v>
      </c>
      <c r="B295" s="22" t="s">
        <v>688</v>
      </c>
      <c r="C295" s="23"/>
      <c r="D295" s="23" t="s">
        <v>652</v>
      </c>
      <c r="E295" s="27">
        <v>0</v>
      </c>
      <c r="F295" s="27">
        <v>0</v>
      </c>
      <c r="G295" s="27">
        <v>0</v>
      </c>
      <c r="H295" s="27">
        <v>0</v>
      </c>
      <c r="I295" s="27">
        <v>0</v>
      </c>
      <c r="J295" s="27">
        <v>0</v>
      </c>
      <c r="K295" s="27">
        <v>0</v>
      </c>
      <c r="L295" s="27">
        <v>0</v>
      </c>
      <c r="M295" s="27">
        <v>0</v>
      </c>
      <c r="N295" s="27">
        <v>0</v>
      </c>
      <c r="O295" s="27">
        <v>0</v>
      </c>
      <c r="P295" s="27">
        <v>0</v>
      </c>
      <c r="Q295" s="27">
        <v>0</v>
      </c>
      <c r="R295" s="27">
        <v>0</v>
      </c>
      <c r="S295" s="27">
        <v>0</v>
      </c>
      <c r="T295" s="27">
        <v>0</v>
      </c>
      <c r="U295" s="27">
        <v>0</v>
      </c>
      <c r="V295" s="27">
        <v>0</v>
      </c>
      <c r="W295" s="27">
        <v>0</v>
      </c>
      <c r="X295" s="27">
        <v>0</v>
      </c>
      <c r="Y295" s="23"/>
      <c r="Z295" s="25"/>
      <c r="AA295" s="25"/>
      <c r="AB295" s="25"/>
      <c r="AC295" s="26"/>
    </row>
    <row r="296" spans="1:29" ht="70.5" customHeight="1" x14ac:dyDescent="0.25">
      <c r="A296" s="9" t="s">
        <v>689</v>
      </c>
      <c r="B296" s="10" t="s">
        <v>690</v>
      </c>
      <c r="C296" s="11"/>
      <c r="D296" s="11"/>
      <c r="E296" s="12">
        <f t="shared" ref="E296:X296" si="117">E297+E308</f>
        <v>34815</v>
      </c>
      <c r="F296" s="12">
        <f t="shared" si="117"/>
        <v>34815</v>
      </c>
      <c r="G296" s="12">
        <f t="shared" si="117"/>
        <v>0</v>
      </c>
      <c r="H296" s="12">
        <f t="shared" si="117"/>
        <v>0</v>
      </c>
      <c r="I296" s="12">
        <f t="shared" si="117"/>
        <v>0</v>
      </c>
      <c r="J296" s="12">
        <f t="shared" si="117"/>
        <v>0</v>
      </c>
      <c r="K296" s="12">
        <f t="shared" si="117"/>
        <v>0</v>
      </c>
      <c r="L296" s="12">
        <f t="shared" si="117"/>
        <v>0</v>
      </c>
      <c r="M296" s="12">
        <f t="shared" si="117"/>
        <v>0</v>
      </c>
      <c r="N296" s="12">
        <f t="shared" si="117"/>
        <v>0</v>
      </c>
      <c r="O296" s="12">
        <f t="shared" si="117"/>
        <v>35133.699999999997</v>
      </c>
      <c r="P296" s="12">
        <f t="shared" si="117"/>
        <v>35133.699999999997</v>
      </c>
      <c r="Q296" s="12">
        <f t="shared" si="117"/>
        <v>0</v>
      </c>
      <c r="R296" s="12">
        <f t="shared" si="117"/>
        <v>0</v>
      </c>
      <c r="S296" s="12">
        <f t="shared" si="117"/>
        <v>0</v>
      </c>
      <c r="T296" s="12">
        <f t="shared" si="117"/>
        <v>0</v>
      </c>
      <c r="U296" s="12">
        <f t="shared" si="117"/>
        <v>0</v>
      </c>
      <c r="V296" s="12">
        <f t="shared" si="117"/>
        <v>0</v>
      </c>
      <c r="W296" s="12">
        <f t="shared" si="117"/>
        <v>0</v>
      </c>
      <c r="X296" s="12">
        <f t="shared" si="117"/>
        <v>0</v>
      </c>
      <c r="Y296" s="11"/>
      <c r="Z296" s="13"/>
      <c r="AA296" s="13"/>
      <c r="AB296" s="13"/>
      <c r="AC296" s="14"/>
    </row>
    <row r="297" spans="1:29" ht="74.25" customHeight="1" x14ac:dyDescent="0.25">
      <c r="A297" s="15" t="s">
        <v>691</v>
      </c>
      <c r="B297" s="16" t="s">
        <v>692</v>
      </c>
      <c r="C297" s="17"/>
      <c r="D297" s="17"/>
      <c r="E297" s="18">
        <f t="shared" ref="E297:X297" si="118">E298+E302+E304+E306</f>
        <v>29815</v>
      </c>
      <c r="F297" s="18">
        <f t="shared" si="118"/>
        <v>29815</v>
      </c>
      <c r="G297" s="18">
        <f t="shared" si="118"/>
        <v>0</v>
      </c>
      <c r="H297" s="18">
        <f t="shared" si="118"/>
        <v>0</v>
      </c>
      <c r="I297" s="18">
        <f t="shared" si="118"/>
        <v>0</v>
      </c>
      <c r="J297" s="18">
        <f t="shared" si="118"/>
        <v>0</v>
      </c>
      <c r="K297" s="18">
        <f t="shared" si="118"/>
        <v>0</v>
      </c>
      <c r="L297" s="18">
        <f t="shared" si="118"/>
        <v>0</v>
      </c>
      <c r="M297" s="18">
        <f t="shared" si="118"/>
        <v>0</v>
      </c>
      <c r="N297" s="18">
        <f t="shared" si="118"/>
        <v>0</v>
      </c>
      <c r="O297" s="18">
        <f t="shared" si="118"/>
        <v>30134.23</v>
      </c>
      <c r="P297" s="18">
        <f t="shared" si="118"/>
        <v>30134.23</v>
      </c>
      <c r="Q297" s="18">
        <f t="shared" si="118"/>
        <v>0</v>
      </c>
      <c r="R297" s="18">
        <f t="shared" si="118"/>
        <v>0</v>
      </c>
      <c r="S297" s="18">
        <f t="shared" si="118"/>
        <v>0</v>
      </c>
      <c r="T297" s="18">
        <f t="shared" si="118"/>
        <v>0</v>
      </c>
      <c r="U297" s="18">
        <f t="shared" si="118"/>
        <v>0</v>
      </c>
      <c r="V297" s="18">
        <f t="shared" si="118"/>
        <v>0</v>
      </c>
      <c r="W297" s="18">
        <f t="shared" si="118"/>
        <v>0</v>
      </c>
      <c r="X297" s="18">
        <f t="shared" si="118"/>
        <v>0</v>
      </c>
      <c r="Y297" s="17"/>
      <c r="Z297" s="19"/>
      <c r="AA297" s="19"/>
      <c r="AB297" s="19"/>
      <c r="AC297" s="20"/>
    </row>
    <row r="298" spans="1:29" ht="40.5" x14ac:dyDescent="0.25">
      <c r="A298" s="21" t="s">
        <v>693</v>
      </c>
      <c r="B298" s="22" t="s">
        <v>694</v>
      </c>
      <c r="C298" s="23"/>
      <c r="D298" s="23" t="s">
        <v>695</v>
      </c>
      <c r="E298" s="24">
        <f>SUM(E299:E301)+7366</f>
        <v>7366</v>
      </c>
      <c r="F298" s="24">
        <f>SUM(F299:F301)+7366</f>
        <v>7366</v>
      </c>
      <c r="G298" s="24">
        <f t="shared" ref="G298:N298" si="119">SUM(G299:G301)</f>
        <v>0</v>
      </c>
      <c r="H298" s="24">
        <f t="shared" si="119"/>
        <v>0</v>
      </c>
      <c r="I298" s="24">
        <f t="shared" si="119"/>
        <v>0</v>
      </c>
      <c r="J298" s="24">
        <f t="shared" si="119"/>
        <v>0</v>
      </c>
      <c r="K298" s="24">
        <f t="shared" si="119"/>
        <v>0</v>
      </c>
      <c r="L298" s="24">
        <f t="shared" si="119"/>
        <v>0</v>
      </c>
      <c r="M298" s="24">
        <f t="shared" si="119"/>
        <v>0</v>
      </c>
      <c r="N298" s="24">
        <f t="shared" si="119"/>
        <v>0</v>
      </c>
      <c r="O298" s="24">
        <f>SUM(O299:O301)+7685.74</f>
        <v>7685.74</v>
      </c>
      <c r="P298" s="24">
        <f>SUM(P299:P301)+7685.74</f>
        <v>7685.74</v>
      </c>
      <c r="Q298" s="24">
        <f t="shared" ref="Q298:X298" si="120">SUM(Q299:Q301)</f>
        <v>0</v>
      </c>
      <c r="R298" s="24">
        <f t="shared" si="120"/>
        <v>0</v>
      </c>
      <c r="S298" s="24">
        <f t="shared" si="120"/>
        <v>0</v>
      </c>
      <c r="T298" s="24">
        <f t="shared" si="120"/>
        <v>0</v>
      </c>
      <c r="U298" s="24">
        <f t="shared" si="120"/>
        <v>0</v>
      </c>
      <c r="V298" s="24">
        <f t="shared" si="120"/>
        <v>0</v>
      </c>
      <c r="W298" s="24">
        <f t="shared" si="120"/>
        <v>0</v>
      </c>
      <c r="X298" s="24">
        <f t="shared" si="120"/>
        <v>0</v>
      </c>
      <c r="Y298" s="23" t="s">
        <v>678</v>
      </c>
      <c r="Z298" s="25" t="s">
        <v>34</v>
      </c>
      <c r="AA298" s="25" t="s">
        <v>293</v>
      </c>
      <c r="AB298" s="25" t="s">
        <v>293</v>
      </c>
      <c r="AC298" s="26"/>
    </row>
    <row r="299" spans="1:29" x14ac:dyDescent="0.25">
      <c r="A299" s="28"/>
      <c r="B299" s="29"/>
      <c r="C299" s="30"/>
      <c r="D299" s="30"/>
      <c r="E299" s="31">
        <v>0</v>
      </c>
      <c r="F299" s="31">
        <v>0</v>
      </c>
      <c r="G299" s="31">
        <v>0</v>
      </c>
      <c r="H299" s="31">
        <v>0</v>
      </c>
      <c r="I299" s="31">
        <v>0</v>
      </c>
      <c r="J299" s="31">
        <v>0</v>
      </c>
      <c r="K299" s="31">
        <v>0</v>
      </c>
      <c r="L299" s="31">
        <v>0</v>
      </c>
      <c r="M299" s="31">
        <v>0</v>
      </c>
      <c r="N299" s="31">
        <v>0</v>
      </c>
      <c r="O299" s="31">
        <v>0</v>
      </c>
      <c r="P299" s="31">
        <v>0</v>
      </c>
      <c r="Q299" s="31">
        <v>0</v>
      </c>
      <c r="R299" s="31">
        <v>0</v>
      </c>
      <c r="S299" s="31">
        <v>0</v>
      </c>
      <c r="T299" s="31">
        <v>0</v>
      </c>
      <c r="U299" s="31">
        <v>0</v>
      </c>
      <c r="V299" s="31">
        <v>0</v>
      </c>
      <c r="W299" s="31">
        <v>0</v>
      </c>
      <c r="X299" s="31">
        <v>0</v>
      </c>
      <c r="Y299" s="30" t="s">
        <v>696</v>
      </c>
      <c r="Z299" s="32" t="s">
        <v>450</v>
      </c>
      <c r="AA299" s="32" t="s">
        <v>42</v>
      </c>
      <c r="AB299" s="32" t="s">
        <v>42</v>
      </c>
      <c r="AC299" s="33"/>
    </row>
    <row r="300" spans="1:29" ht="35.25" customHeight="1" x14ac:dyDescent="0.25">
      <c r="A300" s="21" t="s">
        <v>697</v>
      </c>
      <c r="B300" s="22" t="s">
        <v>698</v>
      </c>
      <c r="C300" s="23"/>
      <c r="D300" s="23" t="s">
        <v>695</v>
      </c>
      <c r="E300" s="27">
        <v>0</v>
      </c>
      <c r="F300" s="27">
        <v>0</v>
      </c>
      <c r="G300" s="27">
        <v>0</v>
      </c>
      <c r="H300" s="27">
        <v>0</v>
      </c>
      <c r="I300" s="27">
        <v>0</v>
      </c>
      <c r="J300" s="27">
        <v>0</v>
      </c>
      <c r="K300" s="27">
        <v>0</v>
      </c>
      <c r="L300" s="27">
        <v>0</v>
      </c>
      <c r="M300" s="27">
        <v>0</v>
      </c>
      <c r="N300" s="27">
        <v>0</v>
      </c>
      <c r="O300" s="27">
        <v>0</v>
      </c>
      <c r="P300" s="27">
        <v>0</v>
      </c>
      <c r="Q300" s="27">
        <v>0</v>
      </c>
      <c r="R300" s="27">
        <v>0</v>
      </c>
      <c r="S300" s="27">
        <v>0</v>
      </c>
      <c r="T300" s="27">
        <v>0</v>
      </c>
      <c r="U300" s="27">
        <v>0</v>
      </c>
      <c r="V300" s="27">
        <v>0</v>
      </c>
      <c r="W300" s="27">
        <v>0</v>
      </c>
      <c r="X300" s="27">
        <v>0</v>
      </c>
      <c r="Y300" s="23"/>
      <c r="Z300" s="25"/>
      <c r="AA300" s="25"/>
      <c r="AB300" s="25"/>
      <c r="AC300" s="26"/>
    </row>
    <row r="301" spans="1:29" ht="39" customHeight="1" x14ac:dyDescent="0.25">
      <c r="A301" s="21" t="s">
        <v>699</v>
      </c>
      <c r="B301" s="22" t="s">
        <v>700</v>
      </c>
      <c r="C301" s="23"/>
      <c r="D301" s="23" t="s">
        <v>695</v>
      </c>
      <c r="E301" s="27">
        <v>0</v>
      </c>
      <c r="F301" s="27">
        <v>0</v>
      </c>
      <c r="G301" s="27">
        <v>0</v>
      </c>
      <c r="H301" s="27">
        <v>0</v>
      </c>
      <c r="I301" s="27">
        <v>0</v>
      </c>
      <c r="J301" s="27">
        <v>0</v>
      </c>
      <c r="K301" s="27">
        <v>0</v>
      </c>
      <c r="L301" s="27">
        <v>0</v>
      </c>
      <c r="M301" s="27">
        <v>0</v>
      </c>
      <c r="N301" s="27">
        <v>0</v>
      </c>
      <c r="O301" s="27">
        <v>0</v>
      </c>
      <c r="P301" s="27">
        <v>0</v>
      </c>
      <c r="Q301" s="27">
        <v>0</v>
      </c>
      <c r="R301" s="27">
        <v>0</v>
      </c>
      <c r="S301" s="27">
        <v>0</v>
      </c>
      <c r="T301" s="27">
        <v>0</v>
      </c>
      <c r="U301" s="27">
        <v>0</v>
      </c>
      <c r="V301" s="27">
        <v>0</v>
      </c>
      <c r="W301" s="27">
        <v>0</v>
      </c>
      <c r="X301" s="27">
        <v>0</v>
      </c>
      <c r="Y301" s="23"/>
      <c r="Z301" s="25"/>
      <c r="AA301" s="25"/>
      <c r="AB301" s="25"/>
      <c r="AC301" s="26"/>
    </row>
    <row r="302" spans="1:29" ht="50.25" customHeight="1" x14ac:dyDescent="0.25">
      <c r="A302" s="21" t="s">
        <v>701</v>
      </c>
      <c r="B302" s="22" t="s">
        <v>702</v>
      </c>
      <c r="C302" s="23"/>
      <c r="D302" s="23" t="s">
        <v>695</v>
      </c>
      <c r="E302" s="24">
        <f>SUM(E303:E303)+700</f>
        <v>700</v>
      </c>
      <c r="F302" s="24">
        <f>SUM(F303:F303)+700</f>
        <v>700</v>
      </c>
      <c r="G302" s="24">
        <f t="shared" ref="G302:N302" si="121">SUM(G303:G303)</f>
        <v>0</v>
      </c>
      <c r="H302" s="24">
        <f t="shared" si="121"/>
        <v>0</v>
      </c>
      <c r="I302" s="24">
        <f t="shared" si="121"/>
        <v>0</v>
      </c>
      <c r="J302" s="24">
        <f t="shared" si="121"/>
        <v>0</v>
      </c>
      <c r="K302" s="24">
        <f t="shared" si="121"/>
        <v>0</v>
      </c>
      <c r="L302" s="24">
        <f t="shared" si="121"/>
        <v>0</v>
      </c>
      <c r="M302" s="24">
        <f t="shared" si="121"/>
        <v>0</v>
      </c>
      <c r="N302" s="24">
        <f t="shared" si="121"/>
        <v>0</v>
      </c>
      <c r="O302" s="24">
        <f>SUM(O303:O303)+700</f>
        <v>700</v>
      </c>
      <c r="P302" s="24">
        <f>SUM(P303:P303)+700</f>
        <v>700</v>
      </c>
      <c r="Q302" s="24">
        <f t="shared" ref="Q302:X302" si="122">SUM(Q303:Q303)</f>
        <v>0</v>
      </c>
      <c r="R302" s="24">
        <f t="shared" si="122"/>
        <v>0</v>
      </c>
      <c r="S302" s="24">
        <f t="shared" si="122"/>
        <v>0</v>
      </c>
      <c r="T302" s="24">
        <f t="shared" si="122"/>
        <v>0</v>
      </c>
      <c r="U302" s="24">
        <f t="shared" si="122"/>
        <v>0</v>
      </c>
      <c r="V302" s="24">
        <f t="shared" si="122"/>
        <v>0</v>
      </c>
      <c r="W302" s="24">
        <f t="shared" si="122"/>
        <v>0</v>
      </c>
      <c r="X302" s="24">
        <f t="shared" si="122"/>
        <v>0</v>
      </c>
      <c r="Y302" s="23" t="s">
        <v>703</v>
      </c>
      <c r="Z302" s="25" t="s">
        <v>34</v>
      </c>
      <c r="AA302" s="25" t="s">
        <v>42</v>
      </c>
      <c r="AB302" s="25" t="s">
        <v>42</v>
      </c>
      <c r="AC302" s="26"/>
    </row>
    <row r="303" spans="1:29" ht="33.75" customHeight="1" x14ac:dyDescent="0.25">
      <c r="A303" s="21" t="s">
        <v>704</v>
      </c>
      <c r="B303" s="22" t="s">
        <v>705</v>
      </c>
      <c r="C303" s="23"/>
      <c r="D303" s="23" t="s">
        <v>695</v>
      </c>
      <c r="E303" s="27">
        <v>0</v>
      </c>
      <c r="F303" s="27">
        <v>0</v>
      </c>
      <c r="G303" s="27">
        <v>0</v>
      </c>
      <c r="H303" s="27">
        <v>0</v>
      </c>
      <c r="I303" s="27">
        <v>0</v>
      </c>
      <c r="J303" s="27">
        <v>0</v>
      </c>
      <c r="K303" s="27">
        <v>0</v>
      </c>
      <c r="L303" s="27">
        <v>0</v>
      </c>
      <c r="M303" s="27">
        <v>0</v>
      </c>
      <c r="N303" s="27">
        <v>0</v>
      </c>
      <c r="O303" s="27">
        <v>0</v>
      </c>
      <c r="P303" s="27">
        <v>0</v>
      </c>
      <c r="Q303" s="27">
        <v>0</v>
      </c>
      <c r="R303" s="27">
        <v>0</v>
      </c>
      <c r="S303" s="27">
        <v>0</v>
      </c>
      <c r="T303" s="27">
        <v>0</v>
      </c>
      <c r="U303" s="27">
        <v>0</v>
      </c>
      <c r="V303" s="27">
        <v>0</v>
      </c>
      <c r="W303" s="27">
        <v>0</v>
      </c>
      <c r="X303" s="27">
        <v>0</v>
      </c>
      <c r="Y303" s="23"/>
      <c r="Z303" s="25"/>
      <c r="AA303" s="25"/>
      <c r="AB303" s="25"/>
      <c r="AC303" s="26"/>
    </row>
    <row r="304" spans="1:29" ht="54" customHeight="1" x14ac:dyDescent="0.25">
      <c r="A304" s="21" t="s">
        <v>706</v>
      </c>
      <c r="B304" s="22" t="s">
        <v>707</v>
      </c>
      <c r="C304" s="23"/>
      <c r="D304" s="23" t="s">
        <v>695</v>
      </c>
      <c r="E304" s="24">
        <f>SUM(E305:E305)+5749</f>
        <v>5749</v>
      </c>
      <c r="F304" s="24">
        <f>SUM(F305:F305)+5749</f>
        <v>5749</v>
      </c>
      <c r="G304" s="24">
        <f t="shared" ref="G304:N304" si="123">SUM(G305:G305)</f>
        <v>0</v>
      </c>
      <c r="H304" s="24">
        <f t="shared" si="123"/>
        <v>0</v>
      </c>
      <c r="I304" s="24">
        <f t="shared" si="123"/>
        <v>0</v>
      </c>
      <c r="J304" s="24">
        <f t="shared" si="123"/>
        <v>0</v>
      </c>
      <c r="K304" s="24">
        <f t="shared" si="123"/>
        <v>0</v>
      </c>
      <c r="L304" s="24">
        <f t="shared" si="123"/>
        <v>0</v>
      </c>
      <c r="M304" s="24">
        <f t="shared" si="123"/>
        <v>0</v>
      </c>
      <c r="N304" s="24">
        <f t="shared" si="123"/>
        <v>0</v>
      </c>
      <c r="O304" s="24">
        <f>SUM(O305:O305)+5748.49</f>
        <v>5748.49</v>
      </c>
      <c r="P304" s="24">
        <f>SUM(P305:P305)+5748.49</f>
        <v>5748.49</v>
      </c>
      <c r="Q304" s="24">
        <f t="shared" ref="Q304:X304" si="124">SUM(Q305:Q305)</f>
        <v>0</v>
      </c>
      <c r="R304" s="24">
        <f t="shared" si="124"/>
        <v>0</v>
      </c>
      <c r="S304" s="24">
        <f t="shared" si="124"/>
        <v>0</v>
      </c>
      <c r="T304" s="24">
        <f t="shared" si="124"/>
        <v>0</v>
      </c>
      <c r="U304" s="24">
        <f t="shared" si="124"/>
        <v>0</v>
      </c>
      <c r="V304" s="24">
        <f t="shared" si="124"/>
        <v>0</v>
      </c>
      <c r="W304" s="24">
        <f t="shared" si="124"/>
        <v>0</v>
      </c>
      <c r="X304" s="24">
        <f t="shared" si="124"/>
        <v>0</v>
      </c>
      <c r="Y304" s="23" t="s">
        <v>708</v>
      </c>
      <c r="Z304" s="25" t="s">
        <v>34</v>
      </c>
      <c r="AA304" s="25" t="s">
        <v>165</v>
      </c>
      <c r="AB304" s="25" t="s">
        <v>165</v>
      </c>
      <c r="AC304" s="26"/>
    </row>
    <row r="305" spans="1:29" ht="33.75" customHeight="1" x14ac:dyDescent="0.25">
      <c r="A305" s="21" t="s">
        <v>709</v>
      </c>
      <c r="B305" s="22" t="s">
        <v>710</v>
      </c>
      <c r="C305" s="23"/>
      <c r="D305" s="23" t="s">
        <v>695</v>
      </c>
      <c r="E305" s="27">
        <v>0</v>
      </c>
      <c r="F305" s="27">
        <v>0</v>
      </c>
      <c r="G305" s="27">
        <v>0</v>
      </c>
      <c r="H305" s="27">
        <v>0</v>
      </c>
      <c r="I305" s="27">
        <v>0</v>
      </c>
      <c r="J305" s="27">
        <v>0</v>
      </c>
      <c r="K305" s="27">
        <v>0</v>
      </c>
      <c r="L305" s="27">
        <v>0</v>
      </c>
      <c r="M305" s="27">
        <v>0</v>
      </c>
      <c r="N305" s="27">
        <v>0</v>
      </c>
      <c r="O305" s="27">
        <v>0</v>
      </c>
      <c r="P305" s="27">
        <v>0</v>
      </c>
      <c r="Q305" s="27">
        <v>0</v>
      </c>
      <c r="R305" s="27">
        <v>0</v>
      </c>
      <c r="S305" s="27">
        <v>0</v>
      </c>
      <c r="T305" s="27">
        <v>0</v>
      </c>
      <c r="U305" s="27">
        <v>0</v>
      </c>
      <c r="V305" s="27">
        <v>0</v>
      </c>
      <c r="W305" s="27">
        <v>0</v>
      </c>
      <c r="X305" s="27">
        <v>0</v>
      </c>
      <c r="Y305" s="23"/>
      <c r="Z305" s="25"/>
      <c r="AA305" s="25"/>
      <c r="AB305" s="25"/>
      <c r="AC305" s="26"/>
    </row>
    <row r="306" spans="1:29" ht="51.75" customHeight="1" x14ac:dyDescent="0.25">
      <c r="A306" s="21" t="s">
        <v>711</v>
      </c>
      <c r="B306" s="22" t="s">
        <v>712</v>
      </c>
      <c r="C306" s="23"/>
      <c r="D306" s="23" t="s">
        <v>695</v>
      </c>
      <c r="E306" s="24">
        <f>SUM(E307:E307)+16000</f>
        <v>16000</v>
      </c>
      <c r="F306" s="24">
        <f>SUM(F307:F307)+16000</f>
        <v>16000</v>
      </c>
      <c r="G306" s="24">
        <f t="shared" ref="G306:N306" si="125">SUM(G307:G307)</f>
        <v>0</v>
      </c>
      <c r="H306" s="24">
        <f t="shared" si="125"/>
        <v>0</v>
      </c>
      <c r="I306" s="24">
        <f t="shared" si="125"/>
        <v>0</v>
      </c>
      <c r="J306" s="24">
        <f t="shared" si="125"/>
        <v>0</v>
      </c>
      <c r="K306" s="24">
        <f t="shared" si="125"/>
        <v>0</v>
      </c>
      <c r="L306" s="24">
        <f t="shared" si="125"/>
        <v>0</v>
      </c>
      <c r="M306" s="24">
        <f t="shared" si="125"/>
        <v>0</v>
      </c>
      <c r="N306" s="24">
        <f t="shared" si="125"/>
        <v>0</v>
      </c>
      <c r="O306" s="24">
        <f>SUM(O307:O307)+16000</f>
        <v>16000</v>
      </c>
      <c r="P306" s="24">
        <f>SUM(P307:P307)+16000</f>
        <v>16000</v>
      </c>
      <c r="Q306" s="24">
        <f t="shared" ref="Q306:X306" si="126">SUM(Q307:Q307)</f>
        <v>0</v>
      </c>
      <c r="R306" s="24">
        <f t="shared" si="126"/>
        <v>0</v>
      </c>
      <c r="S306" s="24">
        <f t="shared" si="126"/>
        <v>0</v>
      </c>
      <c r="T306" s="24">
        <f t="shared" si="126"/>
        <v>0</v>
      </c>
      <c r="U306" s="24">
        <f t="shared" si="126"/>
        <v>0</v>
      </c>
      <c r="V306" s="24">
        <f t="shared" si="126"/>
        <v>0</v>
      </c>
      <c r="W306" s="24">
        <f t="shared" si="126"/>
        <v>0</v>
      </c>
      <c r="X306" s="24">
        <f t="shared" si="126"/>
        <v>0</v>
      </c>
      <c r="Y306" s="23" t="s">
        <v>713</v>
      </c>
      <c r="Z306" s="25" t="s">
        <v>34</v>
      </c>
      <c r="AA306" s="25" t="s">
        <v>42</v>
      </c>
      <c r="AB306" s="25" t="s">
        <v>42</v>
      </c>
      <c r="AC306" s="26"/>
    </row>
    <row r="307" spans="1:29" ht="50.25" customHeight="1" x14ac:dyDescent="0.25">
      <c r="A307" s="21" t="s">
        <v>714</v>
      </c>
      <c r="B307" s="22" t="s">
        <v>715</v>
      </c>
      <c r="C307" s="23"/>
      <c r="D307" s="23" t="s">
        <v>695</v>
      </c>
      <c r="E307" s="27">
        <v>0</v>
      </c>
      <c r="F307" s="27">
        <v>0</v>
      </c>
      <c r="G307" s="27">
        <v>0</v>
      </c>
      <c r="H307" s="27">
        <v>0</v>
      </c>
      <c r="I307" s="27">
        <v>0</v>
      </c>
      <c r="J307" s="27">
        <v>0</v>
      </c>
      <c r="K307" s="27">
        <v>0</v>
      </c>
      <c r="L307" s="27">
        <v>0</v>
      </c>
      <c r="M307" s="27">
        <v>0</v>
      </c>
      <c r="N307" s="27">
        <v>0</v>
      </c>
      <c r="O307" s="27">
        <v>0</v>
      </c>
      <c r="P307" s="27">
        <v>0</v>
      </c>
      <c r="Q307" s="27">
        <v>0</v>
      </c>
      <c r="R307" s="27">
        <v>0</v>
      </c>
      <c r="S307" s="27">
        <v>0</v>
      </c>
      <c r="T307" s="27">
        <v>0</v>
      </c>
      <c r="U307" s="27">
        <v>0</v>
      </c>
      <c r="V307" s="27">
        <v>0</v>
      </c>
      <c r="W307" s="27">
        <v>0</v>
      </c>
      <c r="X307" s="27">
        <v>0</v>
      </c>
      <c r="Y307" s="23"/>
      <c r="Z307" s="25"/>
      <c r="AA307" s="25"/>
      <c r="AB307" s="25"/>
      <c r="AC307" s="26"/>
    </row>
    <row r="308" spans="1:29" ht="46.5" customHeight="1" x14ac:dyDescent="0.25">
      <c r="A308" s="15" t="s">
        <v>716</v>
      </c>
      <c r="B308" s="16" t="s">
        <v>717</v>
      </c>
      <c r="C308" s="17"/>
      <c r="D308" s="17"/>
      <c r="E308" s="18">
        <f t="shared" ref="E308:X308" si="127">SUM(E309:E309)</f>
        <v>5000</v>
      </c>
      <c r="F308" s="18">
        <f t="shared" si="127"/>
        <v>5000</v>
      </c>
      <c r="G308" s="18">
        <f t="shared" si="127"/>
        <v>0</v>
      </c>
      <c r="H308" s="18">
        <f t="shared" si="127"/>
        <v>0</v>
      </c>
      <c r="I308" s="18">
        <f t="shared" si="127"/>
        <v>0</v>
      </c>
      <c r="J308" s="18">
        <f t="shared" si="127"/>
        <v>0</v>
      </c>
      <c r="K308" s="18">
        <f t="shared" si="127"/>
        <v>0</v>
      </c>
      <c r="L308" s="18">
        <f t="shared" si="127"/>
        <v>0</v>
      </c>
      <c r="M308" s="18">
        <f t="shared" si="127"/>
        <v>0</v>
      </c>
      <c r="N308" s="18">
        <f t="shared" si="127"/>
        <v>0</v>
      </c>
      <c r="O308" s="18">
        <f t="shared" si="127"/>
        <v>4999.47</v>
      </c>
      <c r="P308" s="18">
        <f t="shared" si="127"/>
        <v>4999.47</v>
      </c>
      <c r="Q308" s="18">
        <f t="shared" si="127"/>
        <v>0</v>
      </c>
      <c r="R308" s="18">
        <f t="shared" si="127"/>
        <v>0</v>
      </c>
      <c r="S308" s="18">
        <f t="shared" si="127"/>
        <v>0</v>
      </c>
      <c r="T308" s="18">
        <f t="shared" si="127"/>
        <v>0</v>
      </c>
      <c r="U308" s="18">
        <f t="shared" si="127"/>
        <v>0</v>
      </c>
      <c r="V308" s="18">
        <f t="shared" si="127"/>
        <v>0</v>
      </c>
      <c r="W308" s="18">
        <f t="shared" si="127"/>
        <v>0</v>
      </c>
      <c r="X308" s="18">
        <f t="shared" si="127"/>
        <v>0</v>
      </c>
      <c r="Y308" s="17"/>
      <c r="Z308" s="19"/>
      <c r="AA308" s="19"/>
      <c r="AB308" s="19"/>
      <c r="AC308" s="20"/>
    </row>
    <row r="309" spans="1:29" ht="70.5" customHeight="1" x14ac:dyDescent="0.25">
      <c r="A309" s="21" t="s">
        <v>718</v>
      </c>
      <c r="B309" s="22" t="s">
        <v>719</v>
      </c>
      <c r="C309" s="23"/>
      <c r="D309" s="23" t="s">
        <v>695</v>
      </c>
      <c r="E309" s="24">
        <f>SUM(E310:E310)+5000</f>
        <v>5000</v>
      </c>
      <c r="F309" s="24">
        <f>SUM(F310:F310)+5000</f>
        <v>5000</v>
      </c>
      <c r="G309" s="24">
        <f t="shared" ref="G309:N309" si="128">SUM(G310:G310)</f>
        <v>0</v>
      </c>
      <c r="H309" s="24">
        <f t="shared" si="128"/>
        <v>0</v>
      </c>
      <c r="I309" s="24">
        <f t="shared" si="128"/>
        <v>0</v>
      </c>
      <c r="J309" s="24">
        <f t="shared" si="128"/>
        <v>0</v>
      </c>
      <c r="K309" s="24">
        <f t="shared" si="128"/>
        <v>0</v>
      </c>
      <c r="L309" s="24">
        <f t="shared" si="128"/>
        <v>0</v>
      </c>
      <c r="M309" s="24">
        <f t="shared" si="128"/>
        <v>0</v>
      </c>
      <c r="N309" s="24">
        <f t="shared" si="128"/>
        <v>0</v>
      </c>
      <c r="O309" s="24">
        <f>SUM(O310:O310)+4999.47</f>
        <v>4999.47</v>
      </c>
      <c r="P309" s="24">
        <f>SUM(P310:P310)+4999.47</f>
        <v>4999.47</v>
      </c>
      <c r="Q309" s="24">
        <f t="shared" ref="Q309:X309" si="129">SUM(Q310:Q310)</f>
        <v>0</v>
      </c>
      <c r="R309" s="24">
        <f t="shared" si="129"/>
        <v>0</v>
      </c>
      <c r="S309" s="24">
        <f t="shared" si="129"/>
        <v>0</v>
      </c>
      <c r="T309" s="24">
        <f t="shared" si="129"/>
        <v>0</v>
      </c>
      <c r="U309" s="24">
        <f t="shared" si="129"/>
        <v>0</v>
      </c>
      <c r="V309" s="24">
        <f t="shared" si="129"/>
        <v>0</v>
      </c>
      <c r="W309" s="24">
        <f t="shared" si="129"/>
        <v>0</v>
      </c>
      <c r="X309" s="24">
        <f t="shared" si="129"/>
        <v>0</v>
      </c>
      <c r="Y309" s="23" t="s">
        <v>720</v>
      </c>
      <c r="Z309" s="25" t="s">
        <v>34</v>
      </c>
      <c r="AA309" s="25" t="s">
        <v>80</v>
      </c>
      <c r="AB309" s="25" t="s">
        <v>168</v>
      </c>
      <c r="AC309" s="26" t="s">
        <v>721</v>
      </c>
    </row>
    <row r="310" spans="1:29" ht="33.75" customHeight="1" x14ac:dyDescent="0.25">
      <c r="A310" s="21" t="s">
        <v>722</v>
      </c>
      <c r="B310" s="22" t="s">
        <v>723</v>
      </c>
      <c r="C310" s="23"/>
      <c r="D310" s="23" t="s">
        <v>695</v>
      </c>
      <c r="E310" s="27">
        <v>0</v>
      </c>
      <c r="F310" s="27">
        <v>0</v>
      </c>
      <c r="G310" s="27">
        <v>0</v>
      </c>
      <c r="H310" s="27">
        <v>0</v>
      </c>
      <c r="I310" s="27">
        <v>0</v>
      </c>
      <c r="J310" s="27">
        <v>0</v>
      </c>
      <c r="K310" s="27">
        <v>0</v>
      </c>
      <c r="L310" s="27">
        <v>0</v>
      </c>
      <c r="M310" s="27">
        <v>0</v>
      </c>
      <c r="N310" s="27">
        <v>0</v>
      </c>
      <c r="O310" s="27">
        <v>0</v>
      </c>
      <c r="P310" s="27">
        <v>0</v>
      </c>
      <c r="Q310" s="27">
        <v>0</v>
      </c>
      <c r="R310" s="27">
        <v>0</v>
      </c>
      <c r="S310" s="27">
        <v>0</v>
      </c>
      <c r="T310" s="27">
        <v>0</v>
      </c>
      <c r="U310" s="27">
        <v>0</v>
      </c>
      <c r="V310" s="27">
        <v>0</v>
      </c>
      <c r="W310" s="27">
        <v>0</v>
      </c>
      <c r="X310" s="27">
        <v>0</v>
      </c>
      <c r="Y310" s="23"/>
      <c r="Z310" s="25"/>
      <c r="AA310" s="25"/>
      <c r="AB310" s="25"/>
      <c r="AC310" s="26"/>
    </row>
    <row r="311" spans="1:29" ht="46.5" customHeight="1" x14ac:dyDescent="0.25">
      <c r="A311" s="9" t="s">
        <v>724</v>
      </c>
      <c r="B311" s="10" t="s">
        <v>725</v>
      </c>
      <c r="C311" s="11"/>
      <c r="D311" s="11" t="s">
        <v>619</v>
      </c>
      <c r="E311" s="12">
        <f t="shared" ref="E311:N312" si="130">SUM(E312:E312)</f>
        <v>30000</v>
      </c>
      <c r="F311" s="12">
        <f t="shared" si="130"/>
        <v>30000</v>
      </c>
      <c r="G311" s="12">
        <f t="shared" si="130"/>
        <v>0</v>
      </c>
      <c r="H311" s="12">
        <f t="shared" si="130"/>
        <v>0</v>
      </c>
      <c r="I311" s="12">
        <f t="shared" si="130"/>
        <v>0</v>
      </c>
      <c r="J311" s="12">
        <f t="shared" si="130"/>
        <v>0</v>
      </c>
      <c r="K311" s="12">
        <f t="shared" si="130"/>
        <v>0</v>
      </c>
      <c r="L311" s="12">
        <f t="shared" si="130"/>
        <v>0</v>
      </c>
      <c r="M311" s="12">
        <f t="shared" si="130"/>
        <v>0</v>
      </c>
      <c r="N311" s="12">
        <f t="shared" si="130"/>
        <v>0</v>
      </c>
      <c r="O311" s="12">
        <f t="shared" ref="O311:X312" si="131">SUM(O312:O312)</f>
        <v>30000</v>
      </c>
      <c r="P311" s="12">
        <f t="shared" si="131"/>
        <v>30000</v>
      </c>
      <c r="Q311" s="12">
        <f t="shared" si="131"/>
        <v>0</v>
      </c>
      <c r="R311" s="12">
        <f t="shared" si="131"/>
        <v>0</v>
      </c>
      <c r="S311" s="12">
        <f t="shared" si="131"/>
        <v>0</v>
      </c>
      <c r="T311" s="12">
        <f t="shared" si="131"/>
        <v>0</v>
      </c>
      <c r="U311" s="12">
        <f t="shared" si="131"/>
        <v>0</v>
      </c>
      <c r="V311" s="12">
        <f t="shared" si="131"/>
        <v>0</v>
      </c>
      <c r="W311" s="12">
        <f t="shared" si="131"/>
        <v>0</v>
      </c>
      <c r="X311" s="12">
        <f t="shared" si="131"/>
        <v>0</v>
      </c>
      <c r="Y311" s="11"/>
      <c r="Z311" s="13"/>
      <c r="AA311" s="13"/>
      <c r="AB311" s="13"/>
      <c r="AC311" s="14"/>
    </row>
    <row r="312" spans="1:29" ht="48" customHeight="1" x14ac:dyDescent="0.25">
      <c r="A312" s="15" t="s">
        <v>726</v>
      </c>
      <c r="B312" s="16" t="s">
        <v>727</v>
      </c>
      <c r="C312" s="17"/>
      <c r="D312" s="17"/>
      <c r="E312" s="18">
        <f t="shared" si="130"/>
        <v>30000</v>
      </c>
      <c r="F312" s="18">
        <f t="shared" si="130"/>
        <v>30000</v>
      </c>
      <c r="G312" s="18">
        <f t="shared" si="130"/>
        <v>0</v>
      </c>
      <c r="H312" s="18">
        <f t="shared" si="130"/>
        <v>0</v>
      </c>
      <c r="I312" s="18">
        <f t="shared" si="130"/>
        <v>0</v>
      </c>
      <c r="J312" s="18">
        <f t="shared" si="130"/>
        <v>0</v>
      </c>
      <c r="K312" s="18">
        <f t="shared" si="130"/>
        <v>0</v>
      </c>
      <c r="L312" s="18">
        <f t="shared" si="130"/>
        <v>0</v>
      </c>
      <c r="M312" s="18">
        <f t="shared" si="130"/>
        <v>0</v>
      </c>
      <c r="N312" s="18">
        <f t="shared" si="130"/>
        <v>0</v>
      </c>
      <c r="O312" s="18">
        <f t="shared" si="131"/>
        <v>30000</v>
      </c>
      <c r="P312" s="18">
        <f t="shared" si="131"/>
        <v>30000</v>
      </c>
      <c r="Q312" s="18">
        <f t="shared" si="131"/>
        <v>0</v>
      </c>
      <c r="R312" s="18">
        <f t="shared" si="131"/>
        <v>0</v>
      </c>
      <c r="S312" s="18">
        <f t="shared" si="131"/>
        <v>0</v>
      </c>
      <c r="T312" s="18">
        <f t="shared" si="131"/>
        <v>0</v>
      </c>
      <c r="U312" s="18">
        <f t="shared" si="131"/>
        <v>0</v>
      </c>
      <c r="V312" s="18">
        <f t="shared" si="131"/>
        <v>0</v>
      </c>
      <c r="W312" s="18">
        <f t="shared" si="131"/>
        <v>0</v>
      </c>
      <c r="X312" s="18">
        <f t="shared" si="131"/>
        <v>0</v>
      </c>
      <c r="Y312" s="17"/>
      <c r="Z312" s="19"/>
      <c r="AA312" s="19"/>
      <c r="AB312" s="19"/>
      <c r="AC312" s="20"/>
    </row>
    <row r="313" spans="1:29" ht="40.5" x14ac:dyDescent="0.25">
      <c r="A313" s="21" t="s">
        <v>728</v>
      </c>
      <c r="B313" s="22" t="s">
        <v>729</v>
      </c>
      <c r="C313" s="23"/>
      <c r="D313" s="23" t="s">
        <v>619</v>
      </c>
      <c r="E313" s="24">
        <f>SUM(E314:E319)+30000</f>
        <v>30000</v>
      </c>
      <c r="F313" s="24">
        <f>SUM(F314:F319)+30000</f>
        <v>30000</v>
      </c>
      <c r="G313" s="24">
        <f t="shared" ref="G313:N313" si="132">SUM(G314:G319)</f>
        <v>0</v>
      </c>
      <c r="H313" s="24">
        <f t="shared" si="132"/>
        <v>0</v>
      </c>
      <c r="I313" s="24">
        <f t="shared" si="132"/>
        <v>0</v>
      </c>
      <c r="J313" s="24">
        <f t="shared" si="132"/>
        <v>0</v>
      </c>
      <c r="K313" s="24">
        <f t="shared" si="132"/>
        <v>0</v>
      </c>
      <c r="L313" s="24">
        <f t="shared" si="132"/>
        <v>0</v>
      </c>
      <c r="M313" s="24">
        <f t="shared" si="132"/>
        <v>0</v>
      </c>
      <c r="N313" s="24">
        <f t="shared" si="132"/>
        <v>0</v>
      </c>
      <c r="O313" s="24">
        <f>SUM(O314:O319)+30000</f>
        <v>30000</v>
      </c>
      <c r="P313" s="24">
        <f>SUM(P314:P319)+30000</f>
        <v>30000</v>
      </c>
      <c r="Q313" s="24">
        <f t="shared" ref="Q313:X313" si="133">SUM(Q314:Q319)</f>
        <v>0</v>
      </c>
      <c r="R313" s="24">
        <f t="shared" si="133"/>
        <v>0</v>
      </c>
      <c r="S313" s="24">
        <f t="shared" si="133"/>
        <v>0</v>
      </c>
      <c r="T313" s="24">
        <f t="shared" si="133"/>
        <v>0</v>
      </c>
      <c r="U313" s="24">
        <f t="shared" si="133"/>
        <v>0</v>
      </c>
      <c r="V313" s="24">
        <f t="shared" si="133"/>
        <v>0</v>
      </c>
      <c r="W313" s="24">
        <f t="shared" si="133"/>
        <v>0</v>
      </c>
      <c r="X313" s="24">
        <f t="shared" si="133"/>
        <v>0</v>
      </c>
      <c r="Y313" s="23" t="s">
        <v>730</v>
      </c>
      <c r="Z313" s="25" t="s">
        <v>34</v>
      </c>
      <c r="AA313" s="25" t="s">
        <v>80</v>
      </c>
      <c r="AB313" s="25" t="s">
        <v>316</v>
      </c>
      <c r="AC313" s="26" t="s">
        <v>731</v>
      </c>
    </row>
    <row r="314" spans="1:29" ht="46.5" customHeight="1" x14ac:dyDescent="0.25">
      <c r="A314" s="28"/>
      <c r="B314" s="29"/>
      <c r="C314" s="30"/>
      <c r="D314" s="30"/>
      <c r="E314" s="31">
        <v>0</v>
      </c>
      <c r="F314" s="31">
        <v>0</v>
      </c>
      <c r="G314" s="31">
        <v>0</v>
      </c>
      <c r="H314" s="31">
        <v>0</v>
      </c>
      <c r="I314" s="31">
        <v>0</v>
      </c>
      <c r="J314" s="31">
        <v>0</v>
      </c>
      <c r="K314" s="31">
        <v>0</v>
      </c>
      <c r="L314" s="31">
        <v>0</v>
      </c>
      <c r="M314" s="31">
        <v>0</v>
      </c>
      <c r="N314" s="31">
        <v>0</v>
      </c>
      <c r="O314" s="31">
        <v>0</v>
      </c>
      <c r="P314" s="31">
        <v>0</v>
      </c>
      <c r="Q314" s="31">
        <v>0</v>
      </c>
      <c r="R314" s="31">
        <v>0</v>
      </c>
      <c r="S314" s="31">
        <v>0</v>
      </c>
      <c r="T314" s="31">
        <v>0</v>
      </c>
      <c r="U314" s="31">
        <v>0</v>
      </c>
      <c r="V314" s="31">
        <v>0</v>
      </c>
      <c r="W314" s="31">
        <v>0</v>
      </c>
      <c r="X314" s="31">
        <v>0</v>
      </c>
      <c r="Y314" s="30" t="s">
        <v>732</v>
      </c>
      <c r="Z314" s="32" t="s">
        <v>34</v>
      </c>
      <c r="AA314" s="32" t="s">
        <v>159</v>
      </c>
      <c r="AB314" s="32" t="s">
        <v>168</v>
      </c>
      <c r="AC314" s="33" t="s">
        <v>733</v>
      </c>
    </row>
    <row r="315" spans="1:29" ht="60.75" x14ac:dyDescent="0.25">
      <c r="A315" s="28"/>
      <c r="B315" s="29"/>
      <c r="C315" s="30"/>
      <c r="D315" s="30"/>
      <c r="E315" s="31">
        <v>0</v>
      </c>
      <c r="F315" s="31">
        <v>0</v>
      </c>
      <c r="G315" s="31">
        <v>0</v>
      </c>
      <c r="H315" s="31">
        <v>0</v>
      </c>
      <c r="I315" s="31">
        <v>0</v>
      </c>
      <c r="J315" s="31">
        <v>0</v>
      </c>
      <c r="K315" s="31">
        <v>0</v>
      </c>
      <c r="L315" s="31">
        <v>0</v>
      </c>
      <c r="M315" s="31">
        <v>0</v>
      </c>
      <c r="N315" s="31">
        <v>0</v>
      </c>
      <c r="O315" s="31">
        <v>0</v>
      </c>
      <c r="P315" s="31">
        <v>0</v>
      </c>
      <c r="Q315" s="31">
        <v>0</v>
      </c>
      <c r="R315" s="31">
        <v>0</v>
      </c>
      <c r="S315" s="31">
        <v>0</v>
      </c>
      <c r="T315" s="31">
        <v>0</v>
      </c>
      <c r="U315" s="31">
        <v>0</v>
      </c>
      <c r="V315" s="31">
        <v>0</v>
      </c>
      <c r="W315" s="31">
        <v>0</v>
      </c>
      <c r="X315" s="31">
        <v>0</v>
      </c>
      <c r="Y315" s="30" t="s">
        <v>734</v>
      </c>
      <c r="Z315" s="32" t="s">
        <v>34</v>
      </c>
      <c r="AA315" s="32" t="s">
        <v>292</v>
      </c>
      <c r="AB315" s="32" t="s">
        <v>735</v>
      </c>
      <c r="AC315" s="33" t="s">
        <v>736</v>
      </c>
    </row>
    <row r="316" spans="1:29" ht="41.25" customHeight="1" x14ac:dyDescent="0.25">
      <c r="A316" s="28"/>
      <c r="B316" s="29"/>
      <c r="C316" s="30"/>
      <c r="D316" s="30"/>
      <c r="E316" s="31">
        <v>0</v>
      </c>
      <c r="F316" s="31">
        <v>0</v>
      </c>
      <c r="G316" s="31">
        <v>0</v>
      </c>
      <c r="H316" s="31">
        <v>0</v>
      </c>
      <c r="I316" s="31">
        <v>0</v>
      </c>
      <c r="J316" s="31">
        <v>0</v>
      </c>
      <c r="K316" s="31">
        <v>0</v>
      </c>
      <c r="L316" s="31">
        <v>0</v>
      </c>
      <c r="M316" s="31">
        <v>0</v>
      </c>
      <c r="N316" s="31">
        <v>0</v>
      </c>
      <c r="O316" s="31">
        <v>0</v>
      </c>
      <c r="P316" s="31">
        <v>0</v>
      </c>
      <c r="Q316" s="31">
        <v>0</v>
      </c>
      <c r="R316" s="31">
        <v>0</v>
      </c>
      <c r="S316" s="31">
        <v>0</v>
      </c>
      <c r="T316" s="31">
        <v>0</v>
      </c>
      <c r="U316" s="31">
        <v>0</v>
      </c>
      <c r="V316" s="31">
        <v>0</v>
      </c>
      <c r="W316" s="31">
        <v>0</v>
      </c>
      <c r="X316" s="31">
        <v>0</v>
      </c>
      <c r="Y316" s="30" t="s">
        <v>737</v>
      </c>
      <c r="Z316" s="32" t="s">
        <v>34</v>
      </c>
      <c r="AA316" s="32" t="s">
        <v>159</v>
      </c>
      <c r="AB316" s="32" t="s">
        <v>159</v>
      </c>
      <c r="AC316" s="33"/>
    </row>
    <row r="317" spans="1:29" ht="37.5" customHeight="1" x14ac:dyDescent="0.25">
      <c r="A317" s="21" t="s">
        <v>738</v>
      </c>
      <c r="B317" s="22" t="s">
        <v>739</v>
      </c>
      <c r="C317" s="23"/>
      <c r="D317" s="23"/>
      <c r="E317" s="27">
        <v>0</v>
      </c>
      <c r="F317" s="27">
        <v>0</v>
      </c>
      <c r="G317" s="27">
        <v>0</v>
      </c>
      <c r="H317" s="27">
        <v>0</v>
      </c>
      <c r="I317" s="27">
        <v>0</v>
      </c>
      <c r="J317" s="27">
        <v>0</v>
      </c>
      <c r="K317" s="27">
        <v>0</v>
      </c>
      <c r="L317" s="27">
        <v>0</v>
      </c>
      <c r="M317" s="27">
        <v>0</v>
      </c>
      <c r="N317" s="27">
        <v>0</v>
      </c>
      <c r="O317" s="27">
        <v>0</v>
      </c>
      <c r="P317" s="27">
        <v>0</v>
      </c>
      <c r="Q317" s="27">
        <v>0</v>
      </c>
      <c r="R317" s="27">
        <v>0</v>
      </c>
      <c r="S317" s="27">
        <v>0</v>
      </c>
      <c r="T317" s="27">
        <v>0</v>
      </c>
      <c r="U317" s="27">
        <v>0</v>
      </c>
      <c r="V317" s="27">
        <v>0</v>
      </c>
      <c r="W317" s="27">
        <v>0</v>
      </c>
      <c r="X317" s="27">
        <v>0</v>
      </c>
      <c r="Y317" s="23"/>
      <c r="Z317" s="25"/>
      <c r="AA317" s="25"/>
      <c r="AB317" s="25"/>
      <c r="AC317" s="26"/>
    </row>
    <row r="318" spans="1:29" ht="31.5" customHeight="1" x14ac:dyDescent="0.25">
      <c r="A318" s="21" t="s">
        <v>740</v>
      </c>
      <c r="B318" s="22" t="s">
        <v>741</v>
      </c>
      <c r="C318" s="23"/>
      <c r="D318" s="23"/>
      <c r="E318" s="27">
        <v>0</v>
      </c>
      <c r="F318" s="27">
        <v>0</v>
      </c>
      <c r="G318" s="27">
        <v>0</v>
      </c>
      <c r="H318" s="27">
        <v>0</v>
      </c>
      <c r="I318" s="27">
        <v>0</v>
      </c>
      <c r="J318" s="27">
        <v>0</v>
      </c>
      <c r="K318" s="27">
        <v>0</v>
      </c>
      <c r="L318" s="27">
        <v>0</v>
      </c>
      <c r="M318" s="27">
        <v>0</v>
      </c>
      <c r="N318" s="27">
        <v>0</v>
      </c>
      <c r="O318" s="27">
        <v>0</v>
      </c>
      <c r="P318" s="27">
        <v>0</v>
      </c>
      <c r="Q318" s="27">
        <v>0</v>
      </c>
      <c r="R318" s="27">
        <v>0</v>
      </c>
      <c r="S318" s="27">
        <v>0</v>
      </c>
      <c r="T318" s="27">
        <v>0</v>
      </c>
      <c r="U318" s="27">
        <v>0</v>
      </c>
      <c r="V318" s="27">
        <v>0</v>
      </c>
      <c r="W318" s="27">
        <v>0</v>
      </c>
      <c r="X318" s="27">
        <v>0</v>
      </c>
      <c r="Y318" s="23"/>
      <c r="Z318" s="25"/>
      <c r="AA318" s="25"/>
      <c r="AB318" s="25"/>
      <c r="AC318" s="26"/>
    </row>
    <row r="319" spans="1:29" ht="33.75" customHeight="1" x14ac:dyDescent="0.25">
      <c r="A319" s="21" t="s">
        <v>742</v>
      </c>
      <c r="B319" s="22" t="s">
        <v>743</v>
      </c>
      <c r="C319" s="23"/>
      <c r="D319" s="23"/>
      <c r="E319" s="27">
        <v>0</v>
      </c>
      <c r="F319" s="27">
        <v>0</v>
      </c>
      <c r="G319" s="27">
        <v>0</v>
      </c>
      <c r="H319" s="27">
        <v>0</v>
      </c>
      <c r="I319" s="27">
        <v>0</v>
      </c>
      <c r="J319" s="27">
        <v>0</v>
      </c>
      <c r="K319" s="27">
        <v>0</v>
      </c>
      <c r="L319" s="27">
        <v>0</v>
      </c>
      <c r="M319" s="27">
        <v>0</v>
      </c>
      <c r="N319" s="27">
        <v>0</v>
      </c>
      <c r="O319" s="27">
        <v>0</v>
      </c>
      <c r="P319" s="27">
        <v>0</v>
      </c>
      <c r="Q319" s="27">
        <v>0</v>
      </c>
      <c r="R319" s="27">
        <v>0</v>
      </c>
      <c r="S319" s="27">
        <v>0</v>
      </c>
      <c r="T319" s="27">
        <v>0</v>
      </c>
      <c r="U319" s="27">
        <v>0</v>
      </c>
      <c r="V319" s="27">
        <v>0</v>
      </c>
      <c r="W319" s="27">
        <v>0</v>
      </c>
      <c r="X319" s="27">
        <v>0</v>
      </c>
      <c r="Y319" s="23"/>
      <c r="Z319" s="25"/>
      <c r="AA319" s="25"/>
      <c r="AB319" s="25"/>
      <c r="AC319" s="26"/>
    </row>
    <row r="320" spans="1:29" ht="70.5" customHeight="1" x14ac:dyDescent="0.25">
      <c r="A320" s="9" t="s">
        <v>744</v>
      </c>
      <c r="B320" s="10" t="s">
        <v>614</v>
      </c>
      <c r="C320" s="11" t="s">
        <v>745</v>
      </c>
      <c r="D320" s="11" t="s">
        <v>619</v>
      </c>
      <c r="E320" s="12">
        <f t="shared" ref="E320:N321" si="134">SUM(E321:E321)</f>
        <v>15000</v>
      </c>
      <c r="F320" s="12">
        <f t="shared" si="134"/>
        <v>15000</v>
      </c>
      <c r="G320" s="12">
        <f t="shared" si="134"/>
        <v>0</v>
      </c>
      <c r="H320" s="12">
        <f t="shared" si="134"/>
        <v>0</v>
      </c>
      <c r="I320" s="12">
        <f t="shared" si="134"/>
        <v>0</v>
      </c>
      <c r="J320" s="12">
        <f t="shared" si="134"/>
        <v>0</v>
      </c>
      <c r="K320" s="12">
        <f t="shared" si="134"/>
        <v>0</v>
      </c>
      <c r="L320" s="12">
        <f t="shared" si="134"/>
        <v>0</v>
      </c>
      <c r="M320" s="12">
        <f t="shared" si="134"/>
        <v>0</v>
      </c>
      <c r="N320" s="12">
        <f t="shared" si="134"/>
        <v>0</v>
      </c>
      <c r="O320" s="12">
        <f t="shared" ref="O320:X321" si="135">SUM(O321:O321)</f>
        <v>15000</v>
      </c>
      <c r="P320" s="12">
        <f t="shared" si="135"/>
        <v>15000</v>
      </c>
      <c r="Q320" s="12">
        <f t="shared" si="135"/>
        <v>0</v>
      </c>
      <c r="R320" s="12">
        <f t="shared" si="135"/>
        <v>0</v>
      </c>
      <c r="S320" s="12">
        <f t="shared" si="135"/>
        <v>0</v>
      </c>
      <c r="T320" s="12">
        <f t="shared" si="135"/>
        <v>0</v>
      </c>
      <c r="U320" s="12">
        <f t="shared" si="135"/>
        <v>0</v>
      </c>
      <c r="V320" s="12">
        <f t="shared" si="135"/>
        <v>0</v>
      </c>
      <c r="W320" s="12">
        <f t="shared" si="135"/>
        <v>0</v>
      </c>
      <c r="X320" s="12">
        <f t="shared" si="135"/>
        <v>0</v>
      </c>
      <c r="Y320" s="11"/>
      <c r="Z320" s="13"/>
      <c r="AA320" s="13"/>
      <c r="AB320" s="13"/>
      <c r="AC320" s="14"/>
    </row>
    <row r="321" spans="1:29" ht="50.25" customHeight="1" x14ac:dyDescent="0.25">
      <c r="A321" s="15" t="s">
        <v>746</v>
      </c>
      <c r="B321" s="16" t="s">
        <v>747</v>
      </c>
      <c r="C321" s="17"/>
      <c r="D321" s="17"/>
      <c r="E321" s="18">
        <f t="shared" si="134"/>
        <v>15000</v>
      </c>
      <c r="F321" s="18">
        <f t="shared" si="134"/>
        <v>15000</v>
      </c>
      <c r="G321" s="18">
        <f t="shared" si="134"/>
        <v>0</v>
      </c>
      <c r="H321" s="18">
        <f t="shared" si="134"/>
        <v>0</v>
      </c>
      <c r="I321" s="18">
        <f t="shared" si="134"/>
        <v>0</v>
      </c>
      <c r="J321" s="18">
        <f t="shared" si="134"/>
        <v>0</v>
      </c>
      <c r="K321" s="18">
        <f t="shared" si="134"/>
        <v>0</v>
      </c>
      <c r="L321" s="18">
        <f t="shared" si="134"/>
        <v>0</v>
      </c>
      <c r="M321" s="18">
        <f t="shared" si="134"/>
        <v>0</v>
      </c>
      <c r="N321" s="18">
        <f t="shared" si="134"/>
        <v>0</v>
      </c>
      <c r="O321" s="18">
        <f t="shared" si="135"/>
        <v>15000</v>
      </c>
      <c r="P321" s="18">
        <f t="shared" si="135"/>
        <v>15000</v>
      </c>
      <c r="Q321" s="18">
        <f t="shared" si="135"/>
        <v>0</v>
      </c>
      <c r="R321" s="18">
        <f t="shared" si="135"/>
        <v>0</v>
      </c>
      <c r="S321" s="18">
        <f t="shared" si="135"/>
        <v>0</v>
      </c>
      <c r="T321" s="18">
        <f t="shared" si="135"/>
        <v>0</v>
      </c>
      <c r="U321" s="18">
        <f t="shared" si="135"/>
        <v>0</v>
      </c>
      <c r="V321" s="18">
        <f t="shared" si="135"/>
        <v>0</v>
      </c>
      <c r="W321" s="18">
        <f t="shared" si="135"/>
        <v>0</v>
      </c>
      <c r="X321" s="18">
        <f t="shared" si="135"/>
        <v>0</v>
      </c>
      <c r="Y321" s="17"/>
      <c r="Z321" s="19"/>
      <c r="AA321" s="19"/>
      <c r="AB321" s="19"/>
      <c r="AC321" s="20"/>
    </row>
    <row r="322" spans="1:29" ht="40.5" x14ac:dyDescent="0.25">
      <c r="A322" s="21" t="s">
        <v>748</v>
      </c>
      <c r="B322" s="22" t="s">
        <v>749</v>
      </c>
      <c r="C322" s="23"/>
      <c r="D322" s="23" t="s">
        <v>619</v>
      </c>
      <c r="E322" s="24">
        <f>SUM(E323:E331)+15000</f>
        <v>15000</v>
      </c>
      <c r="F322" s="24">
        <f>SUM(F323:F331)+15000</f>
        <v>15000</v>
      </c>
      <c r="G322" s="24">
        <f t="shared" ref="G322:N322" si="136">SUM(G323:G331)</f>
        <v>0</v>
      </c>
      <c r="H322" s="24">
        <f t="shared" si="136"/>
        <v>0</v>
      </c>
      <c r="I322" s="24">
        <f t="shared" si="136"/>
        <v>0</v>
      </c>
      <c r="J322" s="24">
        <f t="shared" si="136"/>
        <v>0</v>
      </c>
      <c r="K322" s="24">
        <f t="shared" si="136"/>
        <v>0</v>
      </c>
      <c r="L322" s="24">
        <f t="shared" si="136"/>
        <v>0</v>
      </c>
      <c r="M322" s="24">
        <f t="shared" si="136"/>
        <v>0</v>
      </c>
      <c r="N322" s="24">
        <f t="shared" si="136"/>
        <v>0</v>
      </c>
      <c r="O322" s="24">
        <f>SUM(O323:O331)+15000</f>
        <v>15000</v>
      </c>
      <c r="P322" s="24">
        <f>SUM(P323:P331)+15000</f>
        <v>15000</v>
      </c>
      <c r="Q322" s="24">
        <f t="shared" ref="Q322:X322" si="137">SUM(Q323:Q331)</f>
        <v>0</v>
      </c>
      <c r="R322" s="24">
        <f t="shared" si="137"/>
        <v>0</v>
      </c>
      <c r="S322" s="24">
        <f t="shared" si="137"/>
        <v>0</v>
      </c>
      <c r="T322" s="24">
        <f t="shared" si="137"/>
        <v>0</v>
      </c>
      <c r="U322" s="24">
        <f t="shared" si="137"/>
        <v>0</v>
      </c>
      <c r="V322" s="24">
        <f t="shared" si="137"/>
        <v>0</v>
      </c>
      <c r="W322" s="24">
        <f t="shared" si="137"/>
        <v>0</v>
      </c>
      <c r="X322" s="24">
        <f t="shared" si="137"/>
        <v>0</v>
      </c>
      <c r="Y322" s="23" t="s">
        <v>750</v>
      </c>
      <c r="Z322" s="25" t="s">
        <v>34</v>
      </c>
      <c r="AA322" s="25" t="s">
        <v>77</v>
      </c>
      <c r="AB322" s="25" t="s">
        <v>71</v>
      </c>
      <c r="AC322" s="26" t="s">
        <v>751</v>
      </c>
    </row>
    <row r="323" spans="1:29" ht="40.5" x14ac:dyDescent="0.25">
      <c r="A323" s="28"/>
      <c r="B323" s="29"/>
      <c r="C323" s="30"/>
      <c r="D323" s="30"/>
      <c r="E323" s="31">
        <v>0</v>
      </c>
      <c r="F323" s="31">
        <v>0</v>
      </c>
      <c r="G323" s="31">
        <v>0</v>
      </c>
      <c r="H323" s="31">
        <v>0</v>
      </c>
      <c r="I323" s="31">
        <v>0</v>
      </c>
      <c r="J323" s="31">
        <v>0</v>
      </c>
      <c r="K323" s="31">
        <v>0</v>
      </c>
      <c r="L323" s="31">
        <v>0</v>
      </c>
      <c r="M323" s="31">
        <v>0</v>
      </c>
      <c r="N323" s="31">
        <v>0</v>
      </c>
      <c r="O323" s="31">
        <v>0</v>
      </c>
      <c r="P323" s="31">
        <v>0</v>
      </c>
      <c r="Q323" s="31">
        <v>0</v>
      </c>
      <c r="R323" s="31">
        <v>0</v>
      </c>
      <c r="S323" s="31">
        <v>0</v>
      </c>
      <c r="T323" s="31">
        <v>0</v>
      </c>
      <c r="U323" s="31">
        <v>0</v>
      </c>
      <c r="V323" s="31">
        <v>0</v>
      </c>
      <c r="W323" s="31">
        <v>0</v>
      </c>
      <c r="X323" s="31">
        <v>0</v>
      </c>
      <c r="Y323" s="30" t="s">
        <v>752</v>
      </c>
      <c r="Z323" s="32" t="s">
        <v>34</v>
      </c>
      <c r="AA323" s="32" t="s">
        <v>109</v>
      </c>
      <c r="AB323" s="32" t="s">
        <v>753</v>
      </c>
      <c r="AC323" s="33" t="s">
        <v>754</v>
      </c>
    </row>
    <row r="324" spans="1:29" x14ac:dyDescent="0.25">
      <c r="A324" s="28"/>
      <c r="B324" s="29"/>
      <c r="C324" s="30"/>
      <c r="D324" s="30"/>
      <c r="E324" s="31">
        <v>0</v>
      </c>
      <c r="F324" s="31">
        <v>0</v>
      </c>
      <c r="G324" s="31">
        <v>0</v>
      </c>
      <c r="H324" s="31">
        <v>0</v>
      </c>
      <c r="I324" s="31">
        <v>0</v>
      </c>
      <c r="J324" s="31">
        <v>0</v>
      </c>
      <c r="K324" s="31">
        <v>0</v>
      </c>
      <c r="L324" s="31">
        <v>0</v>
      </c>
      <c r="M324" s="31">
        <v>0</v>
      </c>
      <c r="N324" s="31">
        <v>0</v>
      </c>
      <c r="O324" s="31">
        <v>0</v>
      </c>
      <c r="P324" s="31">
        <v>0</v>
      </c>
      <c r="Q324" s="31">
        <v>0</v>
      </c>
      <c r="R324" s="31">
        <v>0</v>
      </c>
      <c r="S324" s="31">
        <v>0</v>
      </c>
      <c r="T324" s="31">
        <v>0</v>
      </c>
      <c r="U324" s="31">
        <v>0</v>
      </c>
      <c r="V324" s="31">
        <v>0</v>
      </c>
      <c r="W324" s="31">
        <v>0</v>
      </c>
      <c r="X324" s="31">
        <v>0</v>
      </c>
      <c r="Y324" s="30" t="s">
        <v>755</v>
      </c>
      <c r="Z324" s="32" t="s">
        <v>34</v>
      </c>
      <c r="AA324" s="32" t="s">
        <v>292</v>
      </c>
      <c r="AB324" s="32" t="s">
        <v>292</v>
      </c>
      <c r="AC324" s="33"/>
    </row>
    <row r="325" spans="1:29" x14ac:dyDescent="0.25">
      <c r="A325" s="28"/>
      <c r="B325" s="29"/>
      <c r="C325" s="30"/>
      <c r="D325" s="30"/>
      <c r="E325" s="31">
        <v>0</v>
      </c>
      <c r="F325" s="31">
        <v>0</v>
      </c>
      <c r="G325" s="31">
        <v>0</v>
      </c>
      <c r="H325" s="31">
        <v>0</v>
      </c>
      <c r="I325" s="31">
        <v>0</v>
      </c>
      <c r="J325" s="31">
        <v>0</v>
      </c>
      <c r="K325" s="31">
        <v>0</v>
      </c>
      <c r="L325" s="31">
        <v>0</v>
      </c>
      <c r="M325" s="31">
        <v>0</v>
      </c>
      <c r="N325" s="31">
        <v>0</v>
      </c>
      <c r="O325" s="31">
        <v>0</v>
      </c>
      <c r="P325" s="31">
        <v>0</v>
      </c>
      <c r="Q325" s="31">
        <v>0</v>
      </c>
      <c r="R325" s="31">
        <v>0</v>
      </c>
      <c r="S325" s="31">
        <v>0</v>
      </c>
      <c r="T325" s="31">
        <v>0</v>
      </c>
      <c r="U325" s="31">
        <v>0</v>
      </c>
      <c r="V325" s="31">
        <v>0</v>
      </c>
      <c r="W325" s="31">
        <v>0</v>
      </c>
      <c r="X325" s="31">
        <v>0</v>
      </c>
      <c r="Y325" s="30" t="s">
        <v>756</v>
      </c>
      <c r="Z325" s="32" t="s">
        <v>34</v>
      </c>
      <c r="AA325" s="32" t="s">
        <v>757</v>
      </c>
      <c r="AB325" s="32" t="s">
        <v>757</v>
      </c>
      <c r="AC325" s="33"/>
    </row>
    <row r="326" spans="1:29" ht="103.5" customHeight="1" x14ac:dyDescent="0.25">
      <c r="A326" s="28"/>
      <c r="B326" s="29"/>
      <c r="C326" s="30"/>
      <c r="D326" s="30"/>
      <c r="E326" s="31">
        <v>0</v>
      </c>
      <c r="F326" s="31">
        <v>0</v>
      </c>
      <c r="G326" s="31">
        <v>0</v>
      </c>
      <c r="H326" s="31">
        <v>0</v>
      </c>
      <c r="I326" s="31">
        <v>0</v>
      </c>
      <c r="J326" s="31">
        <v>0</v>
      </c>
      <c r="K326" s="31">
        <v>0</v>
      </c>
      <c r="L326" s="31">
        <v>0</v>
      </c>
      <c r="M326" s="31">
        <v>0</v>
      </c>
      <c r="N326" s="31">
        <v>0</v>
      </c>
      <c r="O326" s="31">
        <v>0</v>
      </c>
      <c r="P326" s="31">
        <v>0</v>
      </c>
      <c r="Q326" s="31">
        <v>0</v>
      </c>
      <c r="R326" s="31">
        <v>0</v>
      </c>
      <c r="S326" s="31">
        <v>0</v>
      </c>
      <c r="T326" s="31">
        <v>0</v>
      </c>
      <c r="U326" s="31">
        <v>0</v>
      </c>
      <c r="V326" s="31">
        <v>0</v>
      </c>
      <c r="W326" s="31">
        <v>0</v>
      </c>
      <c r="X326" s="31">
        <v>0</v>
      </c>
      <c r="Y326" s="30" t="s">
        <v>758</v>
      </c>
      <c r="Z326" s="32" t="s">
        <v>34</v>
      </c>
      <c r="AA326" s="32" t="s">
        <v>109</v>
      </c>
      <c r="AB326" s="32" t="s">
        <v>80</v>
      </c>
      <c r="AC326" s="33" t="s">
        <v>759</v>
      </c>
    </row>
    <row r="327" spans="1:29" ht="91.5" customHeight="1" x14ac:dyDescent="0.25">
      <c r="A327" s="21" t="s">
        <v>760</v>
      </c>
      <c r="B327" s="22" t="s">
        <v>761</v>
      </c>
      <c r="C327" s="23"/>
      <c r="D327" s="23"/>
      <c r="E327" s="27">
        <v>0</v>
      </c>
      <c r="F327" s="27">
        <v>0</v>
      </c>
      <c r="G327" s="27">
        <v>0</v>
      </c>
      <c r="H327" s="27">
        <v>0</v>
      </c>
      <c r="I327" s="27">
        <v>0</v>
      </c>
      <c r="J327" s="27">
        <v>0</v>
      </c>
      <c r="K327" s="27">
        <v>0</v>
      </c>
      <c r="L327" s="27">
        <v>0</v>
      </c>
      <c r="M327" s="27">
        <v>0</v>
      </c>
      <c r="N327" s="27">
        <v>0</v>
      </c>
      <c r="O327" s="27">
        <v>0</v>
      </c>
      <c r="P327" s="27">
        <v>0</v>
      </c>
      <c r="Q327" s="27">
        <v>0</v>
      </c>
      <c r="R327" s="27">
        <v>0</v>
      </c>
      <c r="S327" s="27">
        <v>0</v>
      </c>
      <c r="T327" s="27">
        <v>0</v>
      </c>
      <c r="U327" s="27">
        <v>0</v>
      </c>
      <c r="V327" s="27">
        <v>0</v>
      </c>
      <c r="W327" s="27">
        <v>0</v>
      </c>
      <c r="X327" s="27">
        <v>0</v>
      </c>
      <c r="Y327" s="23"/>
      <c r="Z327" s="25"/>
      <c r="AA327" s="25"/>
      <c r="AB327" s="25"/>
      <c r="AC327" s="26"/>
    </row>
    <row r="328" spans="1:29" ht="55.5" customHeight="1" x14ac:dyDescent="0.25">
      <c r="A328" s="21" t="s">
        <v>762</v>
      </c>
      <c r="B328" s="22" t="s">
        <v>763</v>
      </c>
      <c r="C328" s="23"/>
      <c r="D328" s="23"/>
      <c r="E328" s="27">
        <v>0</v>
      </c>
      <c r="F328" s="27">
        <v>0</v>
      </c>
      <c r="G328" s="27">
        <v>0</v>
      </c>
      <c r="H328" s="27">
        <v>0</v>
      </c>
      <c r="I328" s="27">
        <v>0</v>
      </c>
      <c r="J328" s="27">
        <v>0</v>
      </c>
      <c r="K328" s="27">
        <v>0</v>
      </c>
      <c r="L328" s="27">
        <v>0</v>
      </c>
      <c r="M328" s="27">
        <v>0</v>
      </c>
      <c r="N328" s="27">
        <v>0</v>
      </c>
      <c r="O328" s="27">
        <v>0</v>
      </c>
      <c r="P328" s="27">
        <v>0</v>
      </c>
      <c r="Q328" s="27">
        <v>0</v>
      </c>
      <c r="R328" s="27">
        <v>0</v>
      </c>
      <c r="S328" s="27">
        <v>0</v>
      </c>
      <c r="T328" s="27">
        <v>0</v>
      </c>
      <c r="U328" s="27">
        <v>0</v>
      </c>
      <c r="V328" s="27">
        <v>0</v>
      </c>
      <c r="W328" s="27">
        <v>0</v>
      </c>
      <c r="X328" s="27">
        <v>0</v>
      </c>
      <c r="Y328" s="23"/>
      <c r="Z328" s="25"/>
      <c r="AA328" s="25"/>
      <c r="AB328" s="25"/>
      <c r="AC328" s="26"/>
    </row>
    <row r="329" spans="1:29" ht="33.75" customHeight="1" x14ac:dyDescent="0.25">
      <c r="A329" s="21" t="s">
        <v>764</v>
      </c>
      <c r="B329" s="22" t="s">
        <v>765</v>
      </c>
      <c r="C329" s="23"/>
      <c r="D329" s="23"/>
      <c r="E329" s="27">
        <v>0</v>
      </c>
      <c r="F329" s="27">
        <v>0</v>
      </c>
      <c r="G329" s="27">
        <v>0</v>
      </c>
      <c r="H329" s="27">
        <v>0</v>
      </c>
      <c r="I329" s="27">
        <v>0</v>
      </c>
      <c r="J329" s="27">
        <v>0</v>
      </c>
      <c r="K329" s="27">
        <v>0</v>
      </c>
      <c r="L329" s="27">
        <v>0</v>
      </c>
      <c r="M329" s="27">
        <v>0</v>
      </c>
      <c r="N329" s="27">
        <v>0</v>
      </c>
      <c r="O329" s="27">
        <v>0</v>
      </c>
      <c r="P329" s="27">
        <v>0</v>
      </c>
      <c r="Q329" s="27">
        <v>0</v>
      </c>
      <c r="R329" s="27">
        <v>0</v>
      </c>
      <c r="S329" s="27">
        <v>0</v>
      </c>
      <c r="T329" s="27">
        <v>0</v>
      </c>
      <c r="U329" s="27">
        <v>0</v>
      </c>
      <c r="V329" s="27">
        <v>0</v>
      </c>
      <c r="W329" s="27">
        <v>0</v>
      </c>
      <c r="X329" s="27">
        <v>0</v>
      </c>
      <c r="Y329" s="23"/>
      <c r="Z329" s="25"/>
      <c r="AA329" s="25"/>
      <c r="AB329" s="25"/>
      <c r="AC329" s="26"/>
    </row>
    <row r="330" spans="1:29" ht="51.75" customHeight="1" x14ac:dyDescent="0.25">
      <c r="A330" s="21" t="s">
        <v>766</v>
      </c>
      <c r="B330" s="22" t="s">
        <v>767</v>
      </c>
      <c r="C330" s="23"/>
      <c r="D330" s="23"/>
      <c r="E330" s="27">
        <v>0</v>
      </c>
      <c r="F330" s="27">
        <v>0</v>
      </c>
      <c r="G330" s="27">
        <v>0</v>
      </c>
      <c r="H330" s="27">
        <v>0</v>
      </c>
      <c r="I330" s="27">
        <v>0</v>
      </c>
      <c r="J330" s="27">
        <v>0</v>
      </c>
      <c r="K330" s="27">
        <v>0</v>
      </c>
      <c r="L330" s="27">
        <v>0</v>
      </c>
      <c r="M330" s="27">
        <v>0</v>
      </c>
      <c r="N330" s="27">
        <v>0</v>
      </c>
      <c r="O330" s="27">
        <v>0</v>
      </c>
      <c r="P330" s="27">
        <v>0</v>
      </c>
      <c r="Q330" s="27">
        <v>0</v>
      </c>
      <c r="R330" s="27">
        <v>0</v>
      </c>
      <c r="S330" s="27">
        <v>0</v>
      </c>
      <c r="T330" s="27">
        <v>0</v>
      </c>
      <c r="U330" s="27">
        <v>0</v>
      </c>
      <c r="V330" s="27">
        <v>0</v>
      </c>
      <c r="W330" s="27">
        <v>0</v>
      </c>
      <c r="X330" s="27">
        <v>0</v>
      </c>
      <c r="Y330" s="23"/>
      <c r="Z330" s="25"/>
      <c r="AA330" s="25"/>
      <c r="AB330" s="25"/>
      <c r="AC330" s="26"/>
    </row>
    <row r="331" spans="1:29" ht="36.75" customHeight="1" x14ac:dyDescent="0.25">
      <c r="A331" s="21" t="s">
        <v>768</v>
      </c>
      <c r="B331" s="22" t="s">
        <v>769</v>
      </c>
      <c r="C331" s="23"/>
      <c r="D331" s="23"/>
      <c r="E331" s="27">
        <v>0</v>
      </c>
      <c r="F331" s="27">
        <v>0</v>
      </c>
      <c r="G331" s="27">
        <v>0</v>
      </c>
      <c r="H331" s="27">
        <v>0</v>
      </c>
      <c r="I331" s="27">
        <v>0</v>
      </c>
      <c r="J331" s="27">
        <v>0</v>
      </c>
      <c r="K331" s="27">
        <v>0</v>
      </c>
      <c r="L331" s="27">
        <v>0</v>
      </c>
      <c r="M331" s="27">
        <v>0</v>
      </c>
      <c r="N331" s="27">
        <v>0</v>
      </c>
      <c r="O331" s="27">
        <v>0</v>
      </c>
      <c r="P331" s="27">
        <v>0</v>
      </c>
      <c r="Q331" s="27">
        <v>0</v>
      </c>
      <c r="R331" s="27">
        <v>0</v>
      </c>
      <c r="S331" s="27">
        <v>0</v>
      </c>
      <c r="T331" s="27">
        <v>0</v>
      </c>
      <c r="U331" s="27">
        <v>0</v>
      </c>
      <c r="V331" s="27">
        <v>0</v>
      </c>
      <c r="W331" s="27">
        <v>0</v>
      </c>
      <c r="X331" s="27">
        <v>0</v>
      </c>
      <c r="Y331" s="23"/>
      <c r="Z331" s="25"/>
      <c r="AA331" s="25"/>
      <c r="AB331" s="25"/>
      <c r="AC331" s="26"/>
    </row>
    <row r="332" spans="1:29" ht="57.75" customHeight="1" x14ac:dyDescent="0.25">
      <c r="A332" s="3" t="s">
        <v>770</v>
      </c>
      <c r="B332" s="4" t="s">
        <v>771</v>
      </c>
      <c r="C332" s="5" t="s">
        <v>772</v>
      </c>
      <c r="D332" s="5" t="s">
        <v>773</v>
      </c>
      <c r="E332" s="6">
        <f t="shared" ref="E332:X332" si="138">SUM(E333:E333)</f>
        <v>4122906</v>
      </c>
      <c r="F332" s="6">
        <f t="shared" si="138"/>
        <v>3765224</v>
      </c>
      <c r="G332" s="6">
        <f t="shared" si="138"/>
        <v>6042</v>
      </c>
      <c r="H332" s="6">
        <f t="shared" si="138"/>
        <v>0</v>
      </c>
      <c r="I332" s="6">
        <f t="shared" si="138"/>
        <v>351640</v>
      </c>
      <c r="J332" s="6">
        <f t="shared" si="138"/>
        <v>0</v>
      </c>
      <c r="K332" s="6">
        <f t="shared" si="138"/>
        <v>0</v>
      </c>
      <c r="L332" s="6">
        <f t="shared" si="138"/>
        <v>0</v>
      </c>
      <c r="M332" s="6">
        <f t="shared" si="138"/>
        <v>0</v>
      </c>
      <c r="N332" s="6">
        <f t="shared" si="138"/>
        <v>0</v>
      </c>
      <c r="O332" s="6">
        <f t="shared" si="138"/>
        <v>4036239.0199999996</v>
      </c>
      <c r="P332" s="6">
        <f t="shared" si="138"/>
        <v>3697566.6199999996</v>
      </c>
      <c r="Q332" s="6">
        <f t="shared" si="138"/>
        <v>4780.84</v>
      </c>
      <c r="R332" s="6">
        <f t="shared" si="138"/>
        <v>0</v>
      </c>
      <c r="S332" s="6">
        <f t="shared" si="138"/>
        <v>316256.71000000002</v>
      </c>
      <c r="T332" s="6">
        <f t="shared" si="138"/>
        <v>0</v>
      </c>
      <c r="U332" s="6">
        <f t="shared" si="138"/>
        <v>0</v>
      </c>
      <c r="V332" s="6">
        <f t="shared" si="138"/>
        <v>17456.510000000002</v>
      </c>
      <c r="W332" s="6">
        <f t="shared" si="138"/>
        <v>0</v>
      </c>
      <c r="X332" s="6">
        <f t="shared" si="138"/>
        <v>0</v>
      </c>
      <c r="Y332" s="5"/>
      <c r="Z332" s="7"/>
      <c r="AA332" s="7"/>
      <c r="AB332" s="7"/>
      <c r="AC332" s="8"/>
    </row>
    <row r="333" spans="1:29" ht="44.25" customHeight="1" x14ac:dyDescent="0.25">
      <c r="A333" s="9" t="s">
        <v>774</v>
      </c>
      <c r="B333" s="10" t="s">
        <v>775</v>
      </c>
      <c r="C333" s="11"/>
      <c r="D333" s="11"/>
      <c r="E333" s="12">
        <f t="shared" ref="E333:X333" si="139">E334+E344+E347+E352+E355+E358+E363</f>
        <v>4122906</v>
      </c>
      <c r="F333" s="12">
        <f t="shared" si="139"/>
        <v>3765224</v>
      </c>
      <c r="G333" s="12">
        <f t="shared" si="139"/>
        <v>6042</v>
      </c>
      <c r="H333" s="12">
        <f t="shared" si="139"/>
        <v>0</v>
      </c>
      <c r="I333" s="12">
        <f t="shared" si="139"/>
        <v>351640</v>
      </c>
      <c r="J333" s="12">
        <f t="shared" si="139"/>
        <v>0</v>
      </c>
      <c r="K333" s="12">
        <f t="shared" si="139"/>
        <v>0</v>
      </c>
      <c r="L333" s="12">
        <f t="shared" si="139"/>
        <v>0</v>
      </c>
      <c r="M333" s="12">
        <f t="shared" si="139"/>
        <v>0</v>
      </c>
      <c r="N333" s="12">
        <f t="shared" si="139"/>
        <v>0</v>
      </c>
      <c r="O333" s="12">
        <f t="shared" si="139"/>
        <v>4036239.0199999996</v>
      </c>
      <c r="P333" s="12">
        <f t="shared" si="139"/>
        <v>3697566.6199999996</v>
      </c>
      <c r="Q333" s="12">
        <f t="shared" si="139"/>
        <v>4780.84</v>
      </c>
      <c r="R333" s="12">
        <f t="shared" si="139"/>
        <v>0</v>
      </c>
      <c r="S333" s="12">
        <f t="shared" si="139"/>
        <v>316256.71000000002</v>
      </c>
      <c r="T333" s="12">
        <f t="shared" si="139"/>
        <v>0</v>
      </c>
      <c r="U333" s="12">
        <f t="shared" si="139"/>
        <v>0</v>
      </c>
      <c r="V333" s="12">
        <f t="shared" si="139"/>
        <v>17456.510000000002</v>
      </c>
      <c r="W333" s="12">
        <f t="shared" si="139"/>
        <v>0</v>
      </c>
      <c r="X333" s="12">
        <f t="shared" si="139"/>
        <v>0</v>
      </c>
      <c r="Y333" s="11"/>
      <c r="Z333" s="13"/>
      <c r="AA333" s="13"/>
      <c r="AB333" s="13"/>
      <c r="AC333" s="14"/>
    </row>
    <row r="334" spans="1:29" ht="55.5" customHeight="1" x14ac:dyDescent="0.25">
      <c r="A334" s="15" t="s">
        <v>776</v>
      </c>
      <c r="B334" s="16" t="s">
        <v>777</v>
      </c>
      <c r="C334" s="17"/>
      <c r="D334" s="17"/>
      <c r="E334" s="18">
        <f t="shared" ref="E334:X334" si="140">E335+E337+E339+E341</f>
        <v>2923360</v>
      </c>
      <c r="F334" s="18">
        <f t="shared" si="140"/>
        <v>2565678</v>
      </c>
      <c r="G334" s="18">
        <f t="shared" si="140"/>
        <v>6042</v>
      </c>
      <c r="H334" s="18">
        <f t="shared" si="140"/>
        <v>0</v>
      </c>
      <c r="I334" s="18">
        <f t="shared" si="140"/>
        <v>351640</v>
      </c>
      <c r="J334" s="18">
        <f t="shared" si="140"/>
        <v>0</v>
      </c>
      <c r="K334" s="18">
        <f t="shared" si="140"/>
        <v>0</v>
      </c>
      <c r="L334" s="18">
        <f t="shared" si="140"/>
        <v>0</v>
      </c>
      <c r="M334" s="18">
        <f t="shared" si="140"/>
        <v>0</v>
      </c>
      <c r="N334" s="18">
        <f t="shared" si="140"/>
        <v>0</v>
      </c>
      <c r="O334" s="18">
        <f t="shared" si="140"/>
        <v>2847874.69</v>
      </c>
      <c r="P334" s="18">
        <f t="shared" si="140"/>
        <v>2511973.19</v>
      </c>
      <c r="Q334" s="18">
        <f t="shared" si="140"/>
        <v>4780.84</v>
      </c>
      <c r="R334" s="18">
        <f t="shared" si="140"/>
        <v>0</v>
      </c>
      <c r="S334" s="18">
        <f t="shared" si="140"/>
        <v>316256.71000000002</v>
      </c>
      <c r="T334" s="18">
        <f t="shared" si="140"/>
        <v>0</v>
      </c>
      <c r="U334" s="18">
        <f t="shared" si="140"/>
        <v>0</v>
      </c>
      <c r="V334" s="18">
        <f t="shared" si="140"/>
        <v>14685.61</v>
      </c>
      <c r="W334" s="18">
        <f t="shared" si="140"/>
        <v>0</v>
      </c>
      <c r="X334" s="18">
        <f t="shared" si="140"/>
        <v>0</v>
      </c>
      <c r="Y334" s="17"/>
      <c r="Z334" s="19"/>
      <c r="AA334" s="19"/>
      <c r="AB334" s="19"/>
      <c r="AC334" s="20"/>
    </row>
    <row r="335" spans="1:29" ht="46.5" customHeight="1" x14ac:dyDescent="0.25">
      <c r="A335" s="21" t="s">
        <v>778</v>
      </c>
      <c r="B335" s="22" t="s">
        <v>779</v>
      </c>
      <c r="C335" s="23" t="s">
        <v>772</v>
      </c>
      <c r="D335" s="23" t="s">
        <v>773</v>
      </c>
      <c r="E335" s="24">
        <f>SUM(E336:E336)+240070</f>
        <v>240070</v>
      </c>
      <c r="F335" s="24">
        <f>SUM(F336:F336)+240070</f>
        <v>240070</v>
      </c>
      <c r="G335" s="24">
        <f t="shared" ref="G335:N335" si="141">SUM(G336:G336)</f>
        <v>0</v>
      </c>
      <c r="H335" s="24">
        <f t="shared" si="141"/>
        <v>0</v>
      </c>
      <c r="I335" s="24">
        <f t="shared" si="141"/>
        <v>0</v>
      </c>
      <c r="J335" s="24">
        <f t="shared" si="141"/>
        <v>0</v>
      </c>
      <c r="K335" s="24">
        <f t="shared" si="141"/>
        <v>0</v>
      </c>
      <c r="L335" s="24">
        <f t="shared" si="141"/>
        <v>0</v>
      </c>
      <c r="M335" s="24">
        <f t="shared" si="141"/>
        <v>0</v>
      </c>
      <c r="N335" s="24">
        <f t="shared" si="141"/>
        <v>0</v>
      </c>
      <c r="O335" s="24">
        <f>SUM(O336:O336)+245534.91</f>
        <v>245534.91</v>
      </c>
      <c r="P335" s="24">
        <f>SUM(P336:P336)+245534.91</f>
        <v>245534.91</v>
      </c>
      <c r="Q335" s="24">
        <f t="shared" ref="Q335:X335" si="142">SUM(Q336:Q336)</f>
        <v>0</v>
      </c>
      <c r="R335" s="24">
        <f t="shared" si="142"/>
        <v>0</v>
      </c>
      <c r="S335" s="24">
        <f t="shared" si="142"/>
        <v>0</v>
      </c>
      <c r="T335" s="24">
        <f t="shared" si="142"/>
        <v>0</v>
      </c>
      <c r="U335" s="24">
        <f t="shared" si="142"/>
        <v>0</v>
      </c>
      <c r="V335" s="24">
        <f t="shared" si="142"/>
        <v>0</v>
      </c>
      <c r="W335" s="24">
        <f t="shared" si="142"/>
        <v>0</v>
      </c>
      <c r="X335" s="24">
        <f t="shared" si="142"/>
        <v>0</v>
      </c>
      <c r="Y335" s="23" t="s">
        <v>780</v>
      </c>
      <c r="Z335" s="25" t="s">
        <v>34</v>
      </c>
      <c r="AA335" s="25" t="s">
        <v>292</v>
      </c>
      <c r="AB335" s="25" t="s">
        <v>292</v>
      </c>
      <c r="AC335" s="26"/>
    </row>
    <row r="336" spans="1:29" ht="98.25" customHeight="1" x14ac:dyDescent="0.25">
      <c r="A336" s="21" t="s">
        <v>781</v>
      </c>
      <c r="B336" s="22" t="s">
        <v>782</v>
      </c>
      <c r="C336" s="23"/>
      <c r="D336" s="23" t="s">
        <v>783</v>
      </c>
      <c r="E336" s="27">
        <v>0</v>
      </c>
      <c r="F336" s="27">
        <v>0</v>
      </c>
      <c r="G336" s="27">
        <v>0</v>
      </c>
      <c r="H336" s="27">
        <v>0</v>
      </c>
      <c r="I336" s="27">
        <v>0</v>
      </c>
      <c r="J336" s="27">
        <v>0</v>
      </c>
      <c r="K336" s="27">
        <v>0</v>
      </c>
      <c r="L336" s="27">
        <v>0</v>
      </c>
      <c r="M336" s="27">
        <v>0</v>
      </c>
      <c r="N336" s="27">
        <v>0</v>
      </c>
      <c r="O336" s="27">
        <v>0</v>
      </c>
      <c r="P336" s="27">
        <v>0</v>
      </c>
      <c r="Q336" s="27">
        <v>0</v>
      </c>
      <c r="R336" s="27">
        <v>0</v>
      </c>
      <c r="S336" s="27">
        <v>0</v>
      </c>
      <c r="T336" s="27">
        <v>0</v>
      </c>
      <c r="U336" s="27">
        <v>0</v>
      </c>
      <c r="V336" s="27">
        <v>0</v>
      </c>
      <c r="W336" s="27">
        <v>0</v>
      </c>
      <c r="X336" s="27">
        <v>0</v>
      </c>
      <c r="Y336" s="23"/>
      <c r="Z336" s="25"/>
      <c r="AA336" s="25"/>
      <c r="AB336" s="25"/>
      <c r="AC336" s="26"/>
    </row>
    <row r="337" spans="1:29" ht="68.25" customHeight="1" x14ac:dyDescent="0.25">
      <c r="A337" s="21" t="s">
        <v>784</v>
      </c>
      <c r="B337" s="22" t="s">
        <v>785</v>
      </c>
      <c r="C337" s="23"/>
      <c r="D337" s="23" t="s">
        <v>773</v>
      </c>
      <c r="E337" s="24">
        <f>SUM(E338:E338)+72896</f>
        <v>72896</v>
      </c>
      <c r="F337" s="24">
        <f>SUM(F338:F338)+72896</f>
        <v>72896</v>
      </c>
      <c r="G337" s="24">
        <f t="shared" ref="G337:N337" si="143">SUM(G338:G338)</f>
        <v>0</v>
      </c>
      <c r="H337" s="24">
        <f t="shared" si="143"/>
        <v>0</v>
      </c>
      <c r="I337" s="24">
        <f t="shared" si="143"/>
        <v>0</v>
      </c>
      <c r="J337" s="24">
        <f t="shared" si="143"/>
        <v>0</v>
      </c>
      <c r="K337" s="24">
        <f t="shared" si="143"/>
        <v>0</v>
      </c>
      <c r="L337" s="24">
        <f t="shared" si="143"/>
        <v>0</v>
      </c>
      <c r="M337" s="24">
        <f t="shared" si="143"/>
        <v>0</v>
      </c>
      <c r="N337" s="24">
        <f t="shared" si="143"/>
        <v>0</v>
      </c>
      <c r="O337" s="24">
        <f>SUM(O338:O338)+72891</f>
        <v>72891</v>
      </c>
      <c r="P337" s="24">
        <f>SUM(P338:P338)+72891</f>
        <v>72891</v>
      </c>
      <c r="Q337" s="24">
        <f t="shared" ref="Q337:X337" si="144">SUM(Q338:Q338)</f>
        <v>0</v>
      </c>
      <c r="R337" s="24">
        <f t="shared" si="144"/>
        <v>0</v>
      </c>
      <c r="S337" s="24">
        <f t="shared" si="144"/>
        <v>0</v>
      </c>
      <c r="T337" s="24">
        <f t="shared" si="144"/>
        <v>0</v>
      </c>
      <c r="U337" s="24">
        <f t="shared" si="144"/>
        <v>0</v>
      </c>
      <c r="V337" s="24">
        <f t="shared" si="144"/>
        <v>0</v>
      </c>
      <c r="W337" s="24">
        <f t="shared" si="144"/>
        <v>0</v>
      </c>
      <c r="X337" s="24">
        <f t="shared" si="144"/>
        <v>0</v>
      </c>
      <c r="Y337" s="23" t="s">
        <v>786</v>
      </c>
      <c r="Z337" s="25" t="s">
        <v>34</v>
      </c>
      <c r="AA337" s="25" t="s">
        <v>159</v>
      </c>
      <c r="AB337" s="25" t="s">
        <v>159</v>
      </c>
      <c r="AC337" s="26"/>
    </row>
    <row r="338" spans="1:29" ht="112.5" customHeight="1" x14ac:dyDescent="0.25">
      <c r="A338" s="21" t="s">
        <v>787</v>
      </c>
      <c r="B338" s="22" t="s">
        <v>788</v>
      </c>
      <c r="C338" s="23"/>
      <c r="D338" s="23" t="s">
        <v>773</v>
      </c>
      <c r="E338" s="27">
        <v>0</v>
      </c>
      <c r="F338" s="27">
        <v>0</v>
      </c>
      <c r="G338" s="27">
        <v>0</v>
      </c>
      <c r="H338" s="27">
        <v>0</v>
      </c>
      <c r="I338" s="27">
        <v>0</v>
      </c>
      <c r="J338" s="27">
        <v>0</v>
      </c>
      <c r="K338" s="27">
        <v>0</v>
      </c>
      <c r="L338" s="27">
        <v>0</v>
      </c>
      <c r="M338" s="27">
        <v>0</v>
      </c>
      <c r="N338" s="27">
        <v>0</v>
      </c>
      <c r="O338" s="27">
        <v>0</v>
      </c>
      <c r="P338" s="27">
        <v>0</v>
      </c>
      <c r="Q338" s="27">
        <v>0</v>
      </c>
      <c r="R338" s="27">
        <v>0</v>
      </c>
      <c r="S338" s="27">
        <v>0</v>
      </c>
      <c r="T338" s="27">
        <v>0</v>
      </c>
      <c r="U338" s="27">
        <v>0</v>
      </c>
      <c r="V338" s="27">
        <v>0</v>
      </c>
      <c r="W338" s="27">
        <v>0</v>
      </c>
      <c r="X338" s="27">
        <v>0</v>
      </c>
      <c r="Y338" s="23"/>
      <c r="Z338" s="25"/>
      <c r="AA338" s="25"/>
      <c r="AB338" s="25"/>
      <c r="AC338" s="26"/>
    </row>
    <row r="339" spans="1:29" ht="57.75" customHeight="1" x14ac:dyDescent="0.25">
      <c r="A339" s="21" t="s">
        <v>789</v>
      </c>
      <c r="B339" s="22" t="s">
        <v>790</v>
      </c>
      <c r="C339" s="23" t="s">
        <v>772</v>
      </c>
      <c r="D339" s="23" t="s">
        <v>773</v>
      </c>
      <c r="E339" s="24">
        <f>SUM(E340:E340)+2499380</f>
        <v>2499380</v>
      </c>
      <c r="F339" s="24">
        <f>SUM(F340:F340)+2147098</f>
        <v>2147098</v>
      </c>
      <c r="G339" s="24">
        <f>SUM(G340:G340)+642</f>
        <v>642</v>
      </c>
      <c r="H339" s="24">
        <f>SUM(H340:H340)</f>
        <v>0</v>
      </c>
      <c r="I339" s="24">
        <f>SUM(I340:I340)+351640</f>
        <v>351640</v>
      </c>
      <c r="J339" s="24">
        <f>SUM(J340:J340)</f>
        <v>0</v>
      </c>
      <c r="K339" s="24">
        <f>SUM(K340:K340)</f>
        <v>0</v>
      </c>
      <c r="L339" s="24">
        <f>SUM(L340:L340)</f>
        <v>0</v>
      </c>
      <c r="M339" s="24">
        <f>SUM(M340:M340)</f>
        <v>0</v>
      </c>
      <c r="N339" s="24">
        <f>SUM(N340:N340)</f>
        <v>0</v>
      </c>
      <c r="O339" s="24">
        <f>SUM(O340:O340)+2417183.78</f>
        <v>2417183.7799999998</v>
      </c>
      <c r="P339" s="24">
        <f>SUM(P340:P340)+2086241.46</f>
        <v>2086241.46</v>
      </c>
      <c r="Q339" s="24">
        <f>SUM(Q340:Q340)</f>
        <v>0</v>
      </c>
      <c r="R339" s="24">
        <f>SUM(R340:R340)</f>
        <v>0</v>
      </c>
      <c r="S339" s="24">
        <f>SUM(S340:S340)+316256.71</f>
        <v>316256.71000000002</v>
      </c>
      <c r="T339" s="24">
        <f>SUM(T340:T340)</f>
        <v>0</v>
      </c>
      <c r="U339" s="24">
        <f>SUM(U340:U340)</f>
        <v>0</v>
      </c>
      <c r="V339" s="24">
        <f>SUM(V340:V340)+14685.61</f>
        <v>14685.61</v>
      </c>
      <c r="W339" s="24">
        <f>SUM(W340:W340)</f>
        <v>0</v>
      </c>
      <c r="X339" s="24">
        <f>SUM(X340:X340)</f>
        <v>0</v>
      </c>
      <c r="Y339" s="23" t="s">
        <v>791</v>
      </c>
      <c r="Z339" s="25" t="s">
        <v>34</v>
      </c>
      <c r="AA339" s="25" t="s">
        <v>792</v>
      </c>
      <c r="AB339" s="25" t="s">
        <v>793</v>
      </c>
      <c r="AC339" s="26"/>
    </row>
    <row r="340" spans="1:29" ht="79.5" customHeight="1" x14ac:dyDescent="0.25">
      <c r="A340" s="21" t="s">
        <v>794</v>
      </c>
      <c r="B340" s="22" t="s">
        <v>795</v>
      </c>
      <c r="C340" s="23"/>
      <c r="D340" s="23" t="s">
        <v>796</v>
      </c>
      <c r="E340" s="27">
        <v>0</v>
      </c>
      <c r="F340" s="27">
        <v>0</v>
      </c>
      <c r="G340" s="27">
        <v>0</v>
      </c>
      <c r="H340" s="27">
        <v>0</v>
      </c>
      <c r="I340" s="27">
        <v>0</v>
      </c>
      <c r="J340" s="27">
        <v>0</v>
      </c>
      <c r="K340" s="27">
        <v>0</v>
      </c>
      <c r="L340" s="27">
        <v>0</v>
      </c>
      <c r="M340" s="27">
        <v>0</v>
      </c>
      <c r="N340" s="27">
        <v>0</v>
      </c>
      <c r="O340" s="27">
        <v>0</v>
      </c>
      <c r="P340" s="27">
        <v>0</v>
      </c>
      <c r="Q340" s="27">
        <v>0</v>
      </c>
      <c r="R340" s="27">
        <v>0</v>
      </c>
      <c r="S340" s="27">
        <v>0</v>
      </c>
      <c r="T340" s="27">
        <v>0</v>
      </c>
      <c r="U340" s="27">
        <v>0</v>
      </c>
      <c r="V340" s="27">
        <v>0</v>
      </c>
      <c r="W340" s="27">
        <v>0</v>
      </c>
      <c r="X340" s="27">
        <v>0</v>
      </c>
      <c r="Y340" s="23"/>
      <c r="Z340" s="25"/>
      <c r="AA340" s="25"/>
      <c r="AB340" s="25"/>
      <c r="AC340" s="26"/>
    </row>
    <row r="341" spans="1:29" ht="72" customHeight="1" x14ac:dyDescent="0.25">
      <c r="A341" s="21" t="s">
        <v>797</v>
      </c>
      <c r="B341" s="22" t="s">
        <v>798</v>
      </c>
      <c r="C341" s="23"/>
      <c r="D341" s="23" t="s">
        <v>799</v>
      </c>
      <c r="E341" s="24">
        <f>SUM(E342:E343)+111014</f>
        <v>111014</v>
      </c>
      <c r="F341" s="24">
        <f>SUM(F342:F343)+105614</f>
        <v>105614</v>
      </c>
      <c r="G341" s="24">
        <f>SUM(G342:G343)+5400</f>
        <v>5400</v>
      </c>
      <c r="H341" s="24">
        <f t="shared" ref="H341:N341" si="145">SUM(H342:H343)</f>
        <v>0</v>
      </c>
      <c r="I341" s="24">
        <f t="shared" si="145"/>
        <v>0</v>
      </c>
      <c r="J341" s="24">
        <f t="shared" si="145"/>
        <v>0</v>
      </c>
      <c r="K341" s="24">
        <f t="shared" si="145"/>
        <v>0</v>
      </c>
      <c r="L341" s="24">
        <f t="shared" si="145"/>
        <v>0</v>
      </c>
      <c r="M341" s="24">
        <f t="shared" si="145"/>
        <v>0</v>
      </c>
      <c r="N341" s="24">
        <f t="shared" si="145"/>
        <v>0</v>
      </c>
      <c r="O341" s="24">
        <f>SUM(O342:O343)+112265</f>
        <v>112265</v>
      </c>
      <c r="P341" s="24">
        <f>SUM(P342:P343)+107305.82</f>
        <v>107305.82</v>
      </c>
      <c r="Q341" s="24">
        <f>SUM(Q342:Q343)+4780.84</f>
        <v>4780.84</v>
      </c>
      <c r="R341" s="24">
        <f t="shared" ref="R341:X341" si="146">SUM(R342:R343)</f>
        <v>0</v>
      </c>
      <c r="S341" s="24">
        <f t="shared" si="146"/>
        <v>0</v>
      </c>
      <c r="T341" s="24">
        <f t="shared" si="146"/>
        <v>0</v>
      </c>
      <c r="U341" s="24">
        <f t="shared" si="146"/>
        <v>0</v>
      </c>
      <c r="V341" s="24">
        <f t="shared" si="146"/>
        <v>0</v>
      </c>
      <c r="W341" s="24">
        <f t="shared" si="146"/>
        <v>0</v>
      </c>
      <c r="X341" s="24">
        <f t="shared" si="146"/>
        <v>0</v>
      </c>
      <c r="Y341" s="23" t="s">
        <v>800</v>
      </c>
      <c r="Z341" s="25" t="s">
        <v>34</v>
      </c>
      <c r="AA341" s="25" t="s">
        <v>801</v>
      </c>
      <c r="AB341" s="25" t="s">
        <v>801</v>
      </c>
      <c r="AC341" s="26"/>
    </row>
    <row r="342" spans="1:29" ht="96" customHeight="1" x14ac:dyDescent="0.25">
      <c r="A342" s="21" t="s">
        <v>802</v>
      </c>
      <c r="B342" s="22" t="s">
        <v>803</v>
      </c>
      <c r="C342" s="23"/>
      <c r="D342" s="23" t="s">
        <v>804</v>
      </c>
      <c r="E342" s="27">
        <v>0</v>
      </c>
      <c r="F342" s="27">
        <v>0</v>
      </c>
      <c r="G342" s="27">
        <v>0</v>
      </c>
      <c r="H342" s="27">
        <v>0</v>
      </c>
      <c r="I342" s="27">
        <v>0</v>
      </c>
      <c r="J342" s="27">
        <v>0</v>
      </c>
      <c r="K342" s="27">
        <v>0</v>
      </c>
      <c r="L342" s="27">
        <v>0</v>
      </c>
      <c r="M342" s="27">
        <v>0</v>
      </c>
      <c r="N342" s="27">
        <v>0</v>
      </c>
      <c r="O342" s="27">
        <v>0</v>
      </c>
      <c r="P342" s="27">
        <v>0</v>
      </c>
      <c r="Q342" s="27">
        <v>0</v>
      </c>
      <c r="R342" s="27">
        <v>0</v>
      </c>
      <c r="S342" s="27">
        <v>0</v>
      </c>
      <c r="T342" s="27">
        <v>0</v>
      </c>
      <c r="U342" s="27">
        <v>0</v>
      </c>
      <c r="V342" s="27">
        <v>0</v>
      </c>
      <c r="W342" s="27">
        <v>0</v>
      </c>
      <c r="X342" s="27">
        <v>0</v>
      </c>
      <c r="Y342" s="23"/>
      <c r="Z342" s="25"/>
      <c r="AA342" s="25"/>
      <c r="AB342" s="25"/>
      <c r="AC342" s="26"/>
    </row>
    <row r="343" spans="1:29" ht="118.5" customHeight="1" x14ac:dyDescent="0.25">
      <c r="A343" s="21" t="s">
        <v>805</v>
      </c>
      <c r="B343" s="22" t="s">
        <v>806</v>
      </c>
      <c r="C343" s="23"/>
      <c r="D343" s="23" t="s">
        <v>804</v>
      </c>
      <c r="E343" s="27">
        <v>0</v>
      </c>
      <c r="F343" s="27">
        <v>0</v>
      </c>
      <c r="G343" s="27">
        <v>0</v>
      </c>
      <c r="H343" s="27">
        <v>0</v>
      </c>
      <c r="I343" s="27">
        <v>0</v>
      </c>
      <c r="J343" s="27">
        <v>0</v>
      </c>
      <c r="K343" s="27">
        <v>0</v>
      </c>
      <c r="L343" s="27">
        <v>0</v>
      </c>
      <c r="M343" s="27">
        <v>0</v>
      </c>
      <c r="N343" s="27">
        <v>0</v>
      </c>
      <c r="O343" s="27">
        <v>0</v>
      </c>
      <c r="P343" s="27">
        <v>0</v>
      </c>
      <c r="Q343" s="27">
        <v>0</v>
      </c>
      <c r="R343" s="27">
        <v>0</v>
      </c>
      <c r="S343" s="27">
        <v>0</v>
      </c>
      <c r="T343" s="27">
        <v>0</v>
      </c>
      <c r="U343" s="27">
        <v>0</v>
      </c>
      <c r="V343" s="27">
        <v>0</v>
      </c>
      <c r="W343" s="27">
        <v>0</v>
      </c>
      <c r="X343" s="27">
        <v>0</v>
      </c>
      <c r="Y343" s="23"/>
      <c r="Z343" s="25"/>
      <c r="AA343" s="25"/>
      <c r="AB343" s="25"/>
      <c r="AC343" s="26"/>
    </row>
    <row r="344" spans="1:29" ht="75.75" customHeight="1" x14ac:dyDescent="0.25">
      <c r="A344" s="15" t="s">
        <v>807</v>
      </c>
      <c r="B344" s="16" t="s">
        <v>808</v>
      </c>
      <c r="C344" s="17"/>
      <c r="D344" s="17"/>
      <c r="E344" s="18">
        <f t="shared" ref="E344:X344" si="147">SUM(E345:E345)</f>
        <v>259457</v>
      </c>
      <c r="F344" s="18">
        <f t="shared" si="147"/>
        <v>259457</v>
      </c>
      <c r="G344" s="18">
        <f t="shared" si="147"/>
        <v>0</v>
      </c>
      <c r="H344" s="18">
        <f t="shared" si="147"/>
        <v>0</v>
      </c>
      <c r="I344" s="18">
        <f t="shared" si="147"/>
        <v>0</v>
      </c>
      <c r="J344" s="18">
        <f t="shared" si="147"/>
        <v>0</v>
      </c>
      <c r="K344" s="18">
        <f t="shared" si="147"/>
        <v>0</v>
      </c>
      <c r="L344" s="18">
        <f t="shared" si="147"/>
        <v>0</v>
      </c>
      <c r="M344" s="18">
        <f t="shared" si="147"/>
        <v>0</v>
      </c>
      <c r="N344" s="18">
        <f t="shared" si="147"/>
        <v>0</v>
      </c>
      <c r="O344" s="18">
        <f t="shared" si="147"/>
        <v>256170.99</v>
      </c>
      <c r="P344" s="18">
        <f t="shared" si="147"/>
        <v>256170.99</v>
      </c>
      <c r="Q344" s="18">
        <f t="shared" si="147"/>
        <v>0</v>
      </c>
      <c r="R344" s="18">
        <f t="shared" si="147"/>
        <v>0</v>
      </c>
      <c r="S344" s="18">
        <f t="shared" si="147"/>
        <v>0</v>
      </c>
      <c r="T344" s="18">
        <f t="shared" si="147"/>
        <v>0</v>
      </c>
      <c r="U344" s="18">
        <f t="shared" si="147"/>
        <v>0</v>
      </c>
      <c r="V344" s="18">
        <f t="shared" si="147"/>
        <v>0</v>
      </c>
      <c r="W344" s="18">
        <f t="shared" si="147"/>
        <v>0</v>
      </c>
      <c r="X344" s="18">
        <f t="shared" si="147"/>
        <v>0</v>
      </c>
      <c r="Y344" s="17"/>
      <c r="Z344" s="19"/>
      <c r="AA344" s="19"/>
      <c r="AB344" s="19"/>
      <c r="AC344" s="20"/>
    </row>
    <row r="345" spans="1:29" ht="101.25" x14ac:dyDescent="0.25">
      <c r="A345" s="21" t="s">
        <v>809</v>
      </c>
      <c r="B345" s="22" t="s">
        <v>810</v>
      </c>
      <c r="C345" s="23"/>
      <c r="D345" s="23" t="s">
        <v>773</v>
      </c>
      <c r="E345" s="24">
        <f>SUM(E346:E346)+259457</f>
        <v>259457</v>
      </c>
      <c r="F345" s="24">
        <f>SUM(F346:F346)+259457</f>
        <v>259457</v>
      </c>
      <c r="G345" s="24">
        <f t="shared" ref="G345:N345" si="148">SUM(G346:G346)</f>
        <v>0</v>
      </c>
      <c r="H345" s="24">
        <f t="shared" si="148"/>
        <v>0</v>
      </c>
      <c r="I345" s="24">
        <f t="shared" si="148"/>
        <v>0</v>
      </c>
      <c r="J345" s="24">
        <f t="shared" si="148"/>
        <v>0</v>
      </c>
      <c r="K345" s="24">
        <f t="shared" si="148"/>
        <v>0</v>
      </c>
      <c r="L345" s="24">
        <f t="shared" si="148"/>
        <v>0</v>
      </c>
      <c r="M345" s="24">
        <f t="shared" si="148"/>
        <v>0</v>
      </c>
      <c r="N345" s="24">
        <f t="shared" si="148"/>
        <v>0</v>
      </c>
      <c r="O345" s="24">
        <f>SUM(O346:O346)+256170.99</f>
        <v>256170.99</v>
      </c>
      <c r="P345" s="24">
        <f>SUM(P346:P346)+256170.99</f>
        <v>256170.99</v>
      </c>
      <c r="Q345" s="24">
        <f t="shared" ref="Q345:X345" si="149">SUM(Q346:Q346)</f>
        <v>0</v>
      </c>
      <c r="R345" s="24">
        <f t="shared" si="149"/>
        <v>0</v>
      </c>
      <c r="S345" s="24">
        <f t="shared" si="149"/>
        <v>0</v>
      </c>
      <c r="T345" s="24">
        <f t="shared" si="149"/>
        <v>0</v>
      </c>
      <c r="U345" s="24">
        <f t="shared" si="149"/>
        <v>0</v>
      </c>
      <c r="V345" s="24">
        <f t="shared" si="149"/>
        <v>0</v>
      </c>
      <c r="W345" s="24">
        <f t="shared" si="149"/>
        <v>0</v>
      </c>
      <c r="X345" s="24">
        <f t="shared" si="149"/>
        <v>0</v>
      </c>
      <c r="Y345" s="23" t="s">
        <v>811</v>
      </c>
      <c r="Z345" s="25" t="s">
        <v>216</v>
      </c>
      <c r="AA345" s="25" t="s">
        <v>812</v>
      </c>
      <c r="AB345" s="25" t="s">
        <v>812</v>
      </c>
      <c r="AC345" s="26"/>
    </row>
    <row r="346" spans="1:29" ht="50.25" customHeight="1" x14ac:dyDescent="0.25">
      <c r="A346" s="21" t="s">
        <v>813</v>
      </c>
      <c r="B346" s="22" t="s">
        <v>814</v>
      </c>
      <c r="C346" s="23"/>
      <c r="D346" s="23" t="s">
        <v>773</v>
      </c>
      <c r="E346" s="27">
        <v>0</v>
      </c>
      <c r="F346" s="27">
        <v>0</v>
      </c>
      <c r="G346" s="27">
        <v>0</v>
      </c>
      <c r="H346" s="27">
        <v>0</v>
      </c>
      <c r="I346" s="27">
        <v>0</v>
      </c>
      <c r="J346" s="27">
        <v>0</v>
      </c>
      <c r="K346" s="27">
        <v>0</v>
      </c>
      <c r="L346" s="27">
        <v>0</v>
      </c>
      <c r="M346" s="27">
        <v>0</v>
      </c>
      <c r="N346" s="27">
        <v>0</v>
      </c>
      <c r="O346" s="27">
        <v>0</v>
      </c>
      <c r="P346" s="27">
        <v>0</v>
      </c>
      <c r="Q346" s="27">
        <v>0</v>
      </c>
      <c r="R346" s="27">
        <v>0</v>
      </c>
      <c r="S346" s="27">
        <v>0</v>
      </c>
      <c r="T346" s="27">
        <v>0</v>
      </c>
      <c r="U346" s="27">
        <v>0</v>
      </c>
      <c r="V346" s="27">
        <v>0</v>
      </c>
      <c r="W346" s="27">
        <v>0</v>
      </c>
      <c r="X346" s="27">
        <v>0</v>
      </c>
      <c r="Y346" s="23"/>
      <c r="Z346" s="25"/>
      <c r="AA346" s="25"/>
      <c r="AB346" s="25"/>
      <c r="AC346" s="26"/>
    </row>
    <row r="347" spans="1:29" ht="46.5" customHeight="1" x14ac:dyDescent="0.25">
      <c r="A347" s="15" t="s">
        <v>815</v>
      </c>
      <c r="B347" s="16" t="s">
        <v>816</v>
      </c>
      <c r="C347" s="17"/>
      <c r="D347" s="17"/>
      <c r="E347" s="18">
        <f t="shared" ref="E347:X347" si="150">E348+E350</f>
        <v>35839</v>
      </c>
      <c r="F347" s="18">
        <f t="shared" si="150"/>
        <v>35839</v>
      </c>
      <c r="G347" s="18">
        <f t="shared" si="150"/>
        <v>0</v>
      </c>
      <c r="H347" s="18">
        <f t="shared" si="150"/>
        <v>0</v>
      </c>
      <c r="I347" s="18">
        <f t="shared" si="150"/>
        <v>0</v>
      </c>
      <c r="J347" s="18">
        <f t="shared" si="150"/>
        <v>0</v>
      </c>
      <c r="K347" s="18">
        <f t="shared" si="150"/>
        <v>0</v>
      </c>
      <c r="L347" s="18">
        <f t="shared" si="150"/>
        <v>0</v>
      </c>
      <c r="M347" s="18">
        <f t="shared" si="150"/>
        <v>0</v>
      </c>
      <c r="N347" s="18">
        <f t="shared" si="150"/>
        <v>0</v>
      </c>
      <c r="O347" s="18">
        <f t="shared" si="150"/>
        <v>34642</v>
      </c>
      <c r="P347" s="18">
        <f t="shared" si="150"/>
        <v>34642</v>
      </c>
      <c r="Q347" s="18">
        <f t="shared" si="150"/>
        <v>0</v>
      </c>
      <c r="R347" s="18">
        <f t="shared" si="150"/>
        <v>0</v>
      </c>
      <c r="S347" s="18">
        <f t="shared" si="150"/>
        <v>0</v>
      </c>
      <c r="T347" s="18">
        <f t="shared" si="150"/>
        <v>0</v>
      </c>
      <c r="U347" s="18">
        <f t="shared" si="150"/>
        <v>0</v>
      </c>
      <c r="V347" s="18">
        <f t="shared" si="150"/>
        <v>0</v>
      </c>
      <c r="W347" s="18">
        <f t="shared" si="150"/>
        <v>0</v>
      </c>
      <c r="X347" s="18">
        <f t="shared" si="150"/>
        <v>0</v>
      </c>
      <c r="Y347" s="17"/>
      <c r="Z347" s="19"/>
      <c r="AA347" s="19"/>
      <c r="AB347" s="19"/>
      <c r="AC347" s="20"/>
    </row>
    <row r="348" spans="1:29" ht="59.25" customHeight="1" x14ac:dyDescent="0.25">
      <c r="A348" s="21" t="s">
        <v>817</v>
      </c>
      <c r="B348" s="22" t="s">
        <v>818</v>
      </c>
      <c r="C348" s="23"/>
      <c r="D348" s="23" t="s">
        <v>783</v>
      </c>
      <c r="E348" s="24">
        <f>SUM(E349:E349)+32121</f>
        <v>32121</v>
      </c>
      <c r="F348" s="24">
        <f>SUM(F349:F349)+32121</f>
        <v>32121</v>
      </c>
      <c r="G348" s="24">
        <f t="shared" ref="G348:N348" si="151">SUM(G349:G349)</f>
        <v>0</v>
      </c>
      <c r="H348" s="24">
        <f t="shared" si="151"/>
        <v>0</v>
      </c>
      <c r="I348" s="24">
        <f t="shared" si="151"/>
        <v>0</v>
      </c>
      <c r="J348" s="24">
        <f t="shared" si="151"/>
        <v>0</v>
      </c>
      <c r="K348" s="24">
        <f t="shared" si="151"/>
        <v>0</v>
      </c>
      <c r="L348" s="24">
        <f t="shared" si="151"/>
        <v>0</v>
      </c>
      <c r="M348" s="24">
        <f t="shared" si="151"/>
        <v>0</v>
      </c>
      <c r="N348" s="24">
        <f t="shared" si="151"/>
        <v>0</v>
      </c>
      <c r="O348" s="24">
        <f>SUM(O349:O349)+33121</f>
        <v>33121</v>
      </c>
      <c r="P348" s="24">
        <f>SUM(P349:P349)+33121</f>
        <v>33121</v>
      </c>
      <c r="Q348" s="24">
        <f t="shared" ref="Q348:X348" si="152">SUM(Q349:Q349)</f>
        <v>0</v>
      </c>
      <c r="R348" s="24">
        <f t="shared" si="152"/>
        <v>0</v>
      </c>
      <c r="S348" s="24">
        <f t="shared" si="152"/>
        <v>0</v>
      </c>
      <c r="T348" s="24">
        <f t="shared" si="152"/>
        <v>0</v>
      </c>
      <c r="U348" s="24">
        <f t="shared" si="152"/>
        <v>0</v>
      </c>
      <c r="V348" s="24">
        <f t="shared" si="152"/>
        <v>0</v>
      </c>
      <c r="W348" s="24">
        <f t="shared" si="152"/>
        <v>0</v>
      </c>
      <c r="X348" s="24">
        <f t="shared" si="152"/>
        <v>0</v>
      </c>
      <c r="Y348" s="23" t="s">
        <v>819</v>
      </c>
      <c r="Z348" s="25" t="s">
        <v>34</v>
      </c>
      <c r="AA348" s="25" t="s">
        <v>820</v>
      </c>
      <c r="AB348" s="25" t="s">
        <v>821</v>
      </c>
      <c r="AC348" s="26"/>
    </row>
    <row r="349" spans="1:29" ht="54" customHeight="1" x14ac:dyDescent="0.25">
      <c r="A349" s="21" t="s">
        <v>822</v>
      </c>
      <c r="B349" s="22" t="s">
        <v>823</v>
      </c>
      <c r="C349" s="23"/>
      <c r="D349" s="23" t="s">
        <v>783</v>
      </c>
      <c r="E349" s="27">
        <v>0</v>
      </c>
      <c r="F349" s="27">
        <v>0</v>
      </c>
      <c r="G349" s="27">
        <v>0</v>
      </c>
      <c r="H349" s="27">
        <v>0</v>
      </c>
      <c r="I349" s="27">
        <v>0</v>
      </c>
      <c r="J349" s="27">
        <v>0</v>
      </c>
      <c r="K349" s="27">
        <v>0</v>
      </c>
      <c r="L349" s="27">
        <v>0</v>
      </c>
      <c r="M349" s="27">
        <v>0</v>
      </c>
      <c r="N349" s="27">
        <v>0</v>
      </c>
      <c r="O349" s="27">
        <v>0</v>
      </c>
      <c r="P349" s="27">
        <v>0</v>
      </c>
      <c r="Q349" s="27">
        <v>0</v>
      </c>
      <c r="R349" s="27">
        <v>0</v>
      </c>
      <c r="S349" s="27">
        <v>0</v>
      </c>
      <c r="T349" s="27">
        <v>0</v>
      </c>
      <c r="U349" s="27">
        <v>0</v>
      </c>
      <c r="V349" s="27">
        <v>0</v>
      </c>
      <c r="W349" s="27">
        <v>0</v>
      </c>
      <c r="X349" s="27">
        <v>0</v>
      </c>
      <c r="Y349" s="23"/>
      <c r="Z349" s="25"/>
      <c r="AA349" s="25"/>
      <c r="AB349" s="25"/>
      <c r="AC349" s="26"/>
    </row>
    <row r="350" spans="1:29" ht="42.75" customHeight="1" x14ac:dyDescent="0.25">
      <c r="A350" s="21" t="s">
        <v>824</v>
      </c>
      <c r="B350" s="22" t="s">
        <v>825</v>
      </c>
      <c r="C350" s="23"/>
      <c r="D350" s="23" t="s">
        <v>783</v>
      </c>
      <c r="E350" s="24">
        <f>SUM(E351:E351)+3718</f>
        <v>3718</v>
      </c>
      <c r="F350" s="24">
        <f>SUM(F351:F351)+3718</f>
        <v>3718</v>
      </c>
      <c r="G350" s="24">
        <f t="shared" ref="G350:N350" si="153">SUM(G351:G351)</f>
        <v>0</v>
      </c>
      <c r="H350" s="24">
        <f t="shared" si="153"/>
        <v>0</v>
      </c>
      <c r="I350" s="24">
        <f t="shared" si="153"/>
        <v>0</v>
      </c>
      <c r="J350" s="24">
        <f t="shared" si="153"/>
        <v>0</v>
      </c>
      <c r="K350" s="24">
        <f t="shared" si="153"/>
        <v>0</v>
      </c>
      <c r="L350" s="24">
        <f t="shared" si="153"/>
        <v>0</v>
      </c>
      <c r="M350" s="24">
        <f t="shared" si="153"/>
        <v>0</v>
      </c>
      <c r="N350" s="24">
        <f t="shared" si="153"/>
        <v>0</v>
      </c>
      <c r="O350" s="24">
        <f>SUM(O351:O351)+1521</f>
        <v>1521</v>
      </c>
      <c r="P350" s="24">
        <f>SUM(P351:P351)+1521</f>
        <v>1521</v>
      </c>
      <c r="Q350" s="24">
        <f t="shared" ref="Q350:X350" si="154">SUM(Q351:Q351)</f>
        <v>0</v>
      </c>
      <c r="R350" s="24">
        <f t="shared" si="154"/>
        <v>0</v>
      </c>
      <c r="S350" s="24">
        <f t="shared" si="154"/>
        <v>0</v>
      </c>
      <c r="T350" s="24">
        <f t="shared" si="154"/>
        <v>0</v>
      </c>
      <c r="U350" s="24">
        <f t="shared" si="154"/>
        <v>0</v>
      </c>
      <c r="V350" s="24">
        <f t="shared" si="154"/>
        <v>0</v>
      </c>
      <c r="W350" s="24">
        <f t="shared" si="154"/>
        <v>0</v>
      </c>
      <c r="X350" s="24">
        <f t="shared" si="154"/>
        <v>0</v>
      </c>
      <c r="Y350" s="23" t="s">
        <v>826</v>
      </c>
      <c r="Z350" s="25" t="s">
        <v>34</v>
      </c>
      <c r="AA350" s="25" t="s">
        <v>820</v>
      </c>
      <c r="AB350" s="25" t="s">
        <v>821</v>
      </c>
      <c r="AC350" s="26"/>
    </row>
    <row r="351" spans="1:29" ht="51.75" customHeight="1" x14ac:dyDescent="0.25">
      <c r="A351" s="21" t="s">
        <v>827</v>
      </c>
      <c r="B351" s="22" t="s">
        <v>828</v>
      </c>
      <c r="C351" s="23"/>
      <c r="D351" s="23" t="s">
        <v>783</v>
      </c>
      <c r="E351" s="27">
        <v>0</v>
      </c>
      <c r="F351" s="27">
        <v>0</v>
      </c>
      <c r="G351" s="27">
        <v>0</v>
      </c>
      <c r="H351" s="27">
        <v>0</v>
      </c>
      <c r="I351" s="27">
        <v>0</v>
      </c>
      <c r="J351" s="27">
        <v>0</v>
      </c>
      <c r="K351" s="27">
        <v>0</v>
      </c>
      <c r="L351" s="27">
        <v>0</v>
      </c>
      <c r="M351" s="27">
        <v>0</v>
      </c>
      <c r="N351" s="27">
        <v>0</v>
      </c>
      <c r="O351" s="27">
        <v>0</v>
      </c>
      <c r="P351" s="27">
        <v>0</v>
      </c>
      <c r="Q351" s="27">
        <v>0</v>
      </c>
      <c r="R351" s="27">
        <v>0</v>
      </c>
      <c r="S351" s="27">
        <v>0</v>
      </c>
      <c r="T351" s="27">
        <v>0</v>
      </c>
      <c r="U351" s="27">
        <v>0</v>
      </c>
      <c r="V351" s="27">
        <v>0</v>
      </c>
      <c r="W351" s="27">
        <v>0</v>
      </c>
      <c r="X351" s="27">
        <v>0</v>
      </c>
      <c r="Y351" s="23"/>
      <c r="Z351" s="25"/>
      <c r="AA351" s="25"/>
      <c r="AB351" s="25"/>
      <c r="AC351" s="26"/>
    </row>
    <row r="352" spans="1:29" ht="63" customHeight="1" x14ac:dyDescent="0.25">
      <c r="A352" s="15" t="s">
        <v>829</v>
      </c>
      <c r="B352" s="16" t="s">
        <v>830</v>
      </c>
      <c r="C352" s="17"/>
      <c r="D352" s="17"/>
      <c r="E352" s="18">
        <f t="shared" ref="E352:N353" si="155">SUM(E353:E353)</f>
        <v>0</v>
      </c>
      <c r="F352" s="18">
        <f t="shared" si="155"/>
        <v>0</v>
      </c>
      <c r="G352" s="18">
        <f t="shared" si="155"/>
        <v>0</v>
      </c>
      <c r="H352" s="18">
        <f t="shared" si="155"/>
        <v>0</v>
      </c>
      <c r="I352" s="18">
        <f t="shared" si="155"/>
        <v>0</v>
      </c>
      <c r="J352" s="18">
        <f t="shared" si="155"/>
        <v>0</v>
      </c>
      <c r="K352" s="18">
        <f t="shared" si="155"/>
        <v>0</v>
      </c>
      <c r="L352" s="18">
        <f t="shared" si="155"/>
        <v>0</v>
      </c>
      <c r="M352" s="18">
        <f t="shared" si="155"/>
        <v>0</v>
      </c>
      <c r="N352" s="18">
        <f t="shared" si="155"/>
        <v>0</v>
      </c>
      <c r="O352" s="18">
        <f t="shared" ref="O352:X353" si="156">SUM(O353:O353)</f>
        <v>0</v>
      </c>
      <c r="P352" s="18">
        <f t="shared" si="156"/>
        <v>0</v>
      </c>
      <c r="Q352" s="18">
        <f t="shared" si="156"/>
        <v>0</v>
      </c>
      <c r="R352" s="18">
        <f t="shared" si="156"/>
        <v>0</v>
      </c>
      <c r="S352" s="18">
        <f t="shared" si="156"/>
        <v>0</v>
      </c>
      <c r="T352" s="18">
        <f t="shared" si="156"/>
        <v>0</v>
      </c>
      <c r="U352" s="18">
        <f t="shared" si="156"/>
        <v>0</v>
      </c>
      <c r="V352" s="18">
        <f t="shared" si="156"/>
        <v>0</v>
      </c>
      <c r="W352" s="18">
        <f t="shared" si="156"/>
        <v>0</v>
      </c>
      <c r="X352" s="18">
        <f t="shared" si="156"/>
        <v>0</v>
      </c>
      <c r="Y352" s="17"/>
      <c r="Z352" s="19"/>
      <c r="AA352" s="19"/>
      <c r="AB352" s="19"/>
      <c r="AC352" s="20"/>
    </row>
    <row r="353" spans="1:29" ht="51.75" customHeight="1" x14ac:dyDescent="0.25">
      <c r="A353" s="21" t="s">
        <v>831</v>
      </c>
      <c r="B353" s="22" t="s">
        <v>832</v>
      </c>
      <c r="C353" s="23"/>
      <c r="D353" s="23" t="s">
        <v>773</v>
      </c>
      <c r="E353" s="24">
        <f t="shared" si="155"/>
        <v>0</v>
      </c>
      <c r="F353" s="24">
        <f t="shared" si="155"/>
        <v>0</v>
      </c>
      <c r="G353" s="24">
        <f t="shared" si="155"/>
        <v>0</v>
      </c>
      <c r="H353" s="24">
        <f t="shared" si="155"/>
        <v>0</v>
      </c>
      <c r="I353" s="24">
        <f t="shared" si="155"/>
        <v>0</v>
      </c>
      <c r="J353" s="24">
        <f t="shared" si="155"/>
        <v>0</v>
      </c>
      <c r="K353" s="24">
        <f t="shared" si="155"/>
        <v>0</v>
      </c>
      <c r="L353" s="24">
        <f t="shared" si="155"/>
        <v>0</v>
      </c>
      <c r="M353" s="24">
        <f t="shared" si="155"/>
        <v>0</v>
      </c>
      <c r="N353" s="24">
        <f t="shared" si="155"/>
        <v>0</v>
      </c>
      <c r="O353" s="24">
        <f t="shared" si="156"/>
        <v>0</v>
      </c>
      <c r="P353" s="24">
        <f t="shared" si="156"/>
        <v>0</v>
      </c>
      <c r="Q353" s="24">
        <f t="shared" si="156"/>
        <v>0</v>
      </c>
      <c r="R353" s="24">
        <f t="shared" si="156"/>
        <v>0</v>
      </c>
      <c r="S353" s="24">
        <f t="shared" si="156"/>
        <v>0</v>
      </c>
      <c r="T353" s="24">
        <f t="shared" si="156"/>
        <v>0</v>
      </c>
      <c r="U353" s="24">
        <f t="shared" si="156"/>
        <v>0</v>
      </c>
      <c r="V353" s="24">
        <f t="shared" si="156"/>
        <v>0</v>
      </c>
      <c r="W353" s="24">
        <f t="shared" si="156"/>
        <v>0</v>
      </c>
      <c r="X353" s="24">
        <f t="shared" si="156"/>
        <v>0</v>
      </c>
      <c r="Y353" s="23" t="s">
        <v>833</v>
      </c>
      <c r="Z353" s="25" t="s">
        <v>34</v>
      </c>
      <c r="AA353" s="25" t="s">
        <v>109</v>
      </c>
      <c r="AB353" s="25" t="s">
        <v>48</v>
      </c>
      <c r="AC353" s="26"/>
    </row>
    <row r="354" spans="1:29" ht="50.25" customHeight="1" x14ac:dyDescent="0.25">
      <c r="A354" s="21" t="s">
        <v>834</v>
      </c>
      <c r="B354" s="22" t="s">
        <v>835</v>
      </c>
      <c r="C354" s="23"/>
      <c r="D354" s="23" t="s">
        <v>773</v>
      </c>
      <c r="E354" s="27">
        <v>0</v>
      </c>
      <c r="F354" s="27">
        <v>0</v>
      </c>
      <c r="G354" s="27">
        <v>0</v>
      </c>
      <c r="H354" s="27">
        <v>0</v>
      </c>
      <c r="I354" s="27">
        <v>0</v>
      </c>
      <c r="J354" s="27">
        <v>0</v>
      </c>
      <c r="K354" s="27">
        <v>0</v>
      </c>
      <c r="L354" s="27">
        <v>0</v>
      </c>
      <c r="M354" s="27">
        <v>0</v>
      </c>
      <c r="N354" s="27">
        <v>0</v>
      </c>
      <c r="O354" s="27">
        <v>0</v>
      </c>
      <c r="P354" s="27">
        <v>0</v>
      </c>
      <c r="Q354" s="27">
        <v>0</v>
      </c>
      <c r="R354" s="27">
        <v>0</v>
      </c>
      <c r="S354" s="27">
        <v>0</v>
      </c>
      <c r="T354" s="27">
        <v>0</v>
      </c>
      <c r="U354" s="27">
        <v>0</v>
      </c>
      <c r="V354" s="27">
        <v>0</v>
      </c>
      <c r="W354" s="27">
        <v>0</v>
      </c>
      <c r="X354" s="27">
        <v>0</v>
      </c>
      <c r="Y354" s="23"/>
      <c r="Z354" s="25"/>
      <c r="AA354" s="25"/>
      <c r="AB354" s="25"/>
      <c r="AC354" s="26"/>
    </row>
    <row r="355" spans="1:29" ht="81.75" customHeight="1" x14ac:dyDescent="0.25">
      <c r="A355" s="15" t="s">
        <v>836</v>
      </c>
      <c r="B355" s="16" t="s">
        <v>837</v>
      </c>
      <c r="C355" s="17"/>
      <c r="D355" s="17"/>
      <c r="E355" s="18">
        <f t="shared" ref="E355:X355" si="157">SUM(E356:E356)</f>
        <v>15887</v>
      </c>
      <c r="F355" s="18">
        <f t="shared" si="157"/>
        <v>15887</v>
      </c>
      <c r="G355" s="18">
        <f t="shared" si="157"/>
        <v>0</v>
      </c>
      <c r="H355" s="18">
        <f t="shared" si="157"/>
        <v>0</v>
      </c>
      <c r="I355" s="18">
        <f t="shared" si="157"/>
        <v>0</v>
      </c>
      <c r="J355" s="18">
        <f t="shared" si="157"/>
        <v>0</v>
      </c>
      <c r="K355" s="18">
        <f t="shared" si="157"/>
        <v>0</v>
      </c>
      <c r="L355" s="18">
        <f t="shared" si="157"/>
        <v>0</v>
      </c>
      <c r="M355" s="18">
        <f t="shared" si="157"/>
        <v>0</v>
      </c>
      <c r="N355" s="18">
        <f t="shared" si="157"/>
        <v>0</v>
      </c>
      <c r="O355" s="18">
        <f t="shared" si="157"/>
        <v>9560.23</v>
      </c>
      <c r="P355" s="18">
        <f t="shared" si="157"/>
        <v>6789.33</v>
      </c>
      <c r="Q355" s="18">
        <f t="shared" si="157"/>
        <v>0</v>
      </c>
      <c r="R355" s="18">
        <f t="shared" si="157"/>
        <v>0</v>
      </c>
      <c r="S355" s="18">
        <f t="shared" si="157"/>
        <v>0</v>
      </c>
      <c r="T355" s="18">
        <f t="shared" si="157"/>
        <v>0</v>
      </c>
      <c r="U355" s="18">
        <f t="shared" si="157"/>
        <v>0</v>
      </c>
      <c r="V355" s="18">
        <f t="shared" si="157"/>
        <v>2770.9</v>
      </c>
      <c r="W355" s="18">
        <f t="shared" si="157"/>
        <v>0</v>
      </c>
      <c r="X355" s="18">
        <f t="shared" si="157"/>
        <v>0</v>
      </c>
      <c r="Y355" s="17"/>
      <c r="Z355" s="19"/>
      <c r="AA355" s="19"/>
      <c r="AB355" s="19"/>
      <c r="AC355" s="20"/>
    </row>
    <row r="356" spans="1:29" ht="146.25" customHeight="1" x14ac:dyDescent="0.25">
      <c r="A356" s="21" t="s">
        <v>838</v>
      </c>
      <c r="B356" s="22" t="s">
        <v>839</v>
      </c>
      <c r="C356" s="23"/>
      <c r="D356" s="23" t="s">
        <v>840</v>
      </c>
      <c r="E356" s="24">
        <f>SUM(E357:E357)+15887</f>
        <v>15887</v>
      </c>
      <c r="F356" s="24">
        <f>SUM(F357:F357)+15887</f>
        <v>15887</v>
      </c>
      <c r="G356" s="24">
        <f t="shared" ref="G356:N356" si="158">SUM(G357:G357)</f>
        <v>0</v>
      </c>
      <c r="H356" s="24">
        <f t="shared" si="158"/>
        <v>0</v>
      </c>
      <c r="I356" s="24">
        <f t="shared" si="158"/>
        <v>0</v>
      </c>
      <c r="J356" s="24">
        <f t="shared" si="158"/>
        <v>0</v>
      </c>
      <c r="K356" s="24">
        <f t="shared" si="158"/>
        <v>0</v>
      </c>
      <c r="L356" s="24">
        <f t="shared" si="158"/>
        <v>0</v>
      </c>
      <c r="M356" s="24">
        <f t="shared" si="158"/>
        <v>0</v>
      </c>
      <c r="N356" s="24">
        <f t="shared" si="158"/>
        <v>0</v>
      </c>
      <c r="O356" s="24">
        <f>SUM(O357:O357)+9560.23</f>
        <v>9560.23</v>
      </c>
      <c r="P356" s="24">
        <f>SUM(P357:P357)+6789.33</f>
        <v>6789.33</v>
      </c>
      <c r="Q356" s="24">
        <f>SUM(Q357:Q357)</f>
        <v>0</v>
      </c>
      <c r="R356" s="24">
        <f>SUM(R357:R357)</f>
        <v>0</v>
      </c>
      <c r="S356" s="24">
        <f>SUM(S357:S357)</f>
        <v>0</v>
      </c>
      <c r="T356" s="24">
        <f>SUM(T357:T357)</f>
        <v>0</v>
      </c>
      <c r="U356" s="24">
        <f>SUM(U357:U357)</f>
        <v>0</v>
      </c>
      <c r="V356" s="24">
        <f>SUM(V357:V357)+2770.9</f>
        <v>2770.9</v>
      </c>
      <c r="W356" s="24">
        <f>SUM(W357:W357)</f>
        <v>0</v>
      </c>
      <c r="X356" s="24">
        <f>SUM(X357:X357)</f>
        <v>0</v>
      </c>
      <c r="Y356" s="23" t="s">
        <v>841</v>
      </c>
      <c r="Z356" s="25" t="s">
        <v>34</v>
      </c>
      <c r="AA356" s="25" t="s">
        <v>842</v>
      </c>
      <c r="AB356" s="25" t="s">
        <v>842</v>
      </c>
      <c r="AC356" s="26"/>
    </row>
    <row r="357" spans="1:29" ht="142.5" customHeight="1" x14ac:dyDescent="0.25">
      <c r="A357" s="21" t="s">
        <v>843</v>
      </c>
      <c r="B357" s="22" t="s">
        <v>844</v>
      </c>
      <c r="C357" s="23"/>
      <c r="D357" s="23" t="s">
        <v>840</v>
      </c>
      <c r="E357" s="27">
        <v>0</v>
      </c>
      <c r="F357" s="27">
        <v>0</v>
      </c>
      <c r="G357" s="27">
        <v>0</v>
      </c>
      <c r="H357" s="27">
        <v>0</v>
      </c>
      <c r="I357" s="27">
        <v>0</v>
      </c>
      <c r="J357" s="27">
        <v>0</v>
      </c>
      <c r="K357" s="27">
        <v>0</v>
      </c>
      <c r="L357" s="27">
        <v>0</v>
      </c>
      <c r="M357" s="27">
        <v>0</v>
      </c>
      <c r="N357" s="27">
        <v>0</v>
      </c>
      <c r="O357" s="27">
        <v>0</v>
      </c>
      <c r="P357" s="27">
        <v>0</v>
      </c>
      <c r="Q357" s="27">
        <v>0</v>
      </c>
      <c r="R357" s="27">
        <v>0</v>
      </c>
      <c r="S357" s="27">
        <v>0</v>
      </c>
      <c r="T357" s="27">
        <v>0</v>
      </c>
      <c r="U357" s="27">
        <v>0</v>
      </c>
      <c r="V357" s="27">
        <v>0</v>
      </c>
      <c r="W357" s="27">
        <v>0</v>
      </c>
      <c r="X357" s="27">
        <v>0</v>
      </c>
      <c r="Y357" s="23"/>
      <c r="Z357" s="25"/>
      <c r="AA357" s="25"/>
      <c r="AB357" s="25"/>
      <c r="AC357" s="26"/>
    </row>
    <row r="358" spans="1:29" ht="57.75" customHeight="1" x14ac:dyDescent="0.25">
      <c r="A358" s="15" t="s">
        <v>845</v>
      </c>
      <c r="B358" s="16" t="s">
        <v>846</v>
      </c>
      <c r="C358" s="17"/>
      <c r="D358" s="17"/>
      <c r="E358" s="18">
        <f t="shared" ref="E358:X358" si="159">E359+E361</f>
        <v>888363</v>
      </c>
      <c r="F358" s="18">
        <f t="shared" si="159"/>
        <v>888363</v>
      </c>
      <c r="G358" s="18">
        <f t="shared" si="159"/>
        <v>0</v>
      </c>
      <c r="H358" s="18">
        <f t="shared" si="159"/>
        <v>0</v>
      </c>
      <c r="I358" s="18">
        <f t="shared" si="159"/>
        <v>0</v>
      </c>
      <c r="J358" s="18">
        <f t="shared" si="159"/>
        <v>0</v>
      </c>
      <c r="K358" s="18">
        <f t="shared" si="159"/>
        <v>0</v>
      </c>
      <c r="L358" s="18">
        <f t="shared" si="159"/>
        <v>0</v>
      </c>
      <c r="M358" s="18">
        <f t="shared" si="159"/>
        <v>0</v>
      </c>
      <c r="N358" s="18">
        <f t="shared" si="159"/>
        <v>0</v>
      </c>
      <c r="O358" s="18">
        <f t="shared" si="159"/>
        <v>887991.11</v>
      </c>
      <c r="P358" s="18">
        <f t="shared" si="159"/>
        <v>887991.11</v>
      </c>
      <c r="Q358" s="18">
        <f t="shared" si="159"/>
        <v>0</v>
      </c>
      <c r="R358" s="18">
        <f t="shared" si="159"/>
        <v>0</v>
      </c>
      <c r="S358" s="18">
        <f t="shared" si="159"/>
        <v>0</v>
      </c>
      <c r="T358" s="18">
        <f t="shared" si="159"/>
        <v>0</v>
      </c>
      <c r="U358" s="18">
        <f t="shared" si="159"/>
        <v>0</v>
      </c>
      <c r="V358" s="18">
        <f t="shared" si="159"/>
        <v>0</v>
      </c>
      <c r="W358" s="18">
        <f t="shared" si="159"/>
        <v>0</v>
      </c>
      <c r="X358" s="18">
        <f t="shared" si="159"/>
        <v>0</v>
      </c>
      <c r="Y358" s="17"/>
      <c r="Z358" s="19"/>
      <c r="AA358" s="19"/>
      <c r="AB358" s="19"/>
      <c r="AC358" s="20"/>
    </row>
    <row r="359" spans="1:29" ht="44.25" customHeight="1" x14ac:dyDescent="0.25">
      <c r="A359" s="21" t="s">
        <v>847</v>
      </c>
      <c r="B359" s="22" t="s">
        <v>848</v>
      </c>
      <c r="C359" s="23"/>
      <c r="D359" s="23" t="s">
        <v>849</v>
      </c>
      <c r="E359" s="24">
        <f>SUM(E360:E360)+799663</f>
        <v>799663</v>
      </c>
      <c r="F359" s="24">
        <f>SUM(F360:F360)+799663</f>
        <v>799663</v>
      </c>
      <c r="G359" s="24">
        <f t="shared" ref="G359:N359" si="160">SUM(G360:G360)</f>
        <v>0</v>
      </c>
      <c r="H359" s="24">
        <f t="shared" si="160"/>
        <v>0</v>
      </c>
      <c r="I359" s="24">
        <f t="shared" si="160"/>
        <v>0</v>
      </c>
      <c r="J359" s="24">
        <f t="shared" si="160"/>
        <v>0</v>
      </c>
      <c r="K359" s="24">
        <f t="shared" si="160"/>
        <v>0</v>
      </c>
      <c r="L359" s="24">
        <f t="shared" si="160"/>
        <v>0</v>
      </c>
      <c r="M359" s="24">
        <f t="shared" si="160"/>
        <v>0</v>
      </c>
      <c r="N359" s="24">
        <f t="shared" si="160"/>
        <v>0</v>
      </c>
      <c r="O359" s="24">
        <f>SUM(O360:O360)+799600.51</f>
        <v>799600.51</v>
      </c>
      <c r="P359" s="24">
        <f>SUM(P360:P360)+799600.51</f>
        <v>799600.51</v>
      </c>
      <c r="Q359" s="24">
        <f t="shared" ref="Q359:X359" si="161">SUM(Q360:Q360)</f>
        <v>0</v>
      </c>
      <c r="R359" s="24">
        <f t="shared" si="161"/>
        <v>0</v>
      </c>
      <c r="S359" s="24">
        <f t="shared" si="161"/>
        <v>0</v>
      </c>
      <c r="T359" s="24">
        <f t="shared" si="161"/>
        <v>0</v>
      </c>
      <c r="U359" s="24">
        <f t="shared" si="161"/>
        <v>0</v>
      </c>
      <c r="V359" s="24">
        <f t="shared" si="161"/>
        <v>0</v>
      </c>
      <c r="W359" s="24">
        <f t="shared" si="161"/>
        <v>0</v>
      </c>
      <c r="X359" s="24">
        <f t="shared" si="161"/>
        <v>0</v>
      </c>
      <c r="Y359" s="23" t="s">
        <v>850</v>
      </c>
      <c r="Z359" s="25" t="s">
        <v>216</v>
      </c>
      <c r="AA359" s="25" t="s">
        <v>842</v>
      </c>
      <c r="AB359" s="25" t="s">
        <v>842</v>
      </c>
      <c r="AC359" s="26"/>
    </row>
    <row r="360" spans="1:29" ht="40.5" x14ac:dyDescent="0.25">
      <c r="A360" s="21" t="s">
        <v>851</v>
      </c>
      <c r="B360" s="22" t="s">
        <v>852</v>
      </c>
      <c r="C360" s="23"/>
      <c r="D360" s="23" t="s">
        <v>849</v>
      </c>
      <c r="E360" s="27">
        <v>0</v>
      </c>
      <c r="F360" s="27">
        <v>0</v>
      </c>
      <c r="G360" s="27">
        <v>0</v>
      </c>
      <c r="H360" s="27">
        <v>0</v>
      </c>
      <c r="I360" s="27">
        <v>0</v>
      </c>
      <c r="J360" s="27">
        <v>0</v>
      </c>
      <c r="K360" s="27">
        <v>0</v>
      </c>
      <c r="L360" s="27">
        <v>0</v>
      </c>
      <c r="M360" s="27">
        <v>0</v>
      </c>
      <c r="N360" s="27">
        <v>0</v>
      </c>
      <c r="O360" s="27">
        <v>0</v>
      </c>
      <c r="P360" s="27">
        <v>0</v>
      </c>
      <c r="Q360" s="27">
        <v>0</v>
      </c>
      <c r="R360" s="27">
        <v>0</v>
      </c>
      <c r="S360" s="27">
        <v>0</v>
      </c>
      <c r="T360" s="27">
        <v>0</v>
      </c>
      <c r="U360" s="27">
        <v>0</v>
      </c>
      <c r="V360" s="27">
        <v>0</v>
      </c>
      <c r="W360" s="27">
        <v>0</v>
      </c>
      <c r="X360" s="27">
        <v>0</v>
      </c>
      <c r="Y360" s="23"/>
      <c r="Z360" s="25"/>
      <c r="AA360" s="25"/>
      <c r="AB360" s="25"/>
      <c r="AC360" s="26"/>
    </row>
    <row r="361" spans="1:29" ht="50.25" customHeight="1" x14ac:dyDescent="0.25">
      <c r="A361" s="21" t="s">
        <v>853</v>
      </c>
      <c r="B361" s="22" t="s">
        <v>854</v>
      </c>
      <c r="C361" s="23"/>
      <c r="D361" s="23" t="s">
        <v>849</v>
      </c>
      <c r="E361" s="24">
        <f>SUM(E362:E362)+88700</f>
        <v>88700</v>
      </c>
      <c r="F361" s="24">
        <f>SUM(F362:F362)+88700</f>
        <v>88700</v>
      </c>
      <c r="G361" s="24">
        <f t="shared" ref="G361:N361" si="162">SUM(G362:G362)</f>
        <v>0</v>
      </c>
      <c r="H361" s="24">
        <f t="shared" si="162"/>
        <v>0</v>
      </c>
      <c r="I361" s="24">
        <f t="shared" si="162"/>
        <v>0</v>
      </c>
      <c r="J361" s="24">
        <f t="shared" si="162"/>
        <v>0</v>
      </c>
      <c r="K361" s="24">
        <f t="shared" si="162"/>
        <v>0</v>
      </c>
      <c r="L361" s="24">
        <f t="shared" si="162"/>
        <v>0</v>
      </c>
      <c r="M361" s="24">
        <f t="shared" si="162"/>
        <v>0</v>
      </c>
      <c r="N361" s="24">
        <f t="shared" si="162"/>
        <v>0</v>
      </c>
      <c r="O361" s="24">
        <f>SUM(O362:O362)+88390.6</f>
        <v>88390.6</v>
      </c>
      <c r="P361" s="24">
        <f>SUM(P362:P362)+88390.6</f>
        <v>88390.6</v>
      </c>
      <c r="Q361" s="24">
        <f t="shared" ref="Q361:X361" si="163">SUM(Q362:Q362)</f>
        <v>0</v>
      </c>
      <c r="R361" s="24">
        <f t="shared" si="163"/>
        <v>0</v>
      </c>
      <c r="S361" s="24">
        <f t="shared" si="163"/>
        <v>0</v>
      </c>
      <c r="T361" s="24">
        <f t="shared" si="163"/>
        <v>0</v>
      </c>
      <c r="U361" s="24">
        <f t="shared" si="163"/>
        <v>0</v>
      </c>
      <c r="V361" s="24">
        <f t="shared" si="163"/>
        <v>0</v>
      </c>
      <c r="W361" s="24">
        <f t="shared" si="163"/>
        <v>0</v>
      </c>
      <c r="X361" s="24">
        <f t="shared" si="163"/>
        <v>0</v>
      </c>
      <c r="Y361" s="23" t="s">
        <v>855</v>
      </c>
      <c r="Z361" s="25" t="s">
        <v>216</v>
      </c>
      <c r="AA361" s="25" t="s">
        <v>842</v>
      </c>
      <c r="AB361" s="25" t="s">
        <v>842</v>
      </c>
      <c r="AC361" s="26"/>
    </row>
    <row r="362" spans="1:29" ht="61.5" customHeight="1" x14ac:dyDescent="0.25">
      <c r="A362" s="21" t="s">
        <v>856</v>
      </c>
      <c r="B362" s="22" t="s">
        <v>857</v>
      </c>
      <c r="C362" s="23"/>
      <c r="D362" s="23" t="s">
        <v>849</v>
      </c>
      <c r="E362" s="27">
        <v>0</v>
      </c>
      <c r="F362" s="27">
        <v>0</v>
      </c>
      <c r="G362" s="27">
        <v>0</v>
      </c>
      <c r="H362" s="27">
        <v>0</v>
      </c>
      <c r="I362" s="27">
        <v>0</v>
      </c>
      <c r="J362" s="27">
        <v>0</v>
      </c>
      <c r="K362" s="27">
        <v>0</v>
      </c>
      <c r="L362" s="27">
        <v>0</v>
      </c>
      <c r="M362" s="27">
        <v>0</v>
      </c>
      <c r="N362" s="27">
        <v>0</v>
      </c>
      <c r="O362" s="27">
        <v>0</v>
      </c>
      <c r="P362" s="27">
        <v>0</v>
      </c>
      <c r="Q362" s="27">
        <v>0</v>
      </c>
      <c r="R362" s="27">
        <v>0</v>
      </c>
      <c r="S362" s="27">
        <v>0</v>
      </c>
      <c r="T362" s="27">
        <v>0</v>
      </c>
      <c r="U362" s="27">
        <v>0</v>
      </c>
      <c r="V362" s="27">
        <v>0</v>
      </c>
      <c r="W362" s="27">
        <v>0</v>
      </c>
      <c r="X362" s="27">
        <v>0</v>
      </c>
      <c r="Y362" s="23"/>
      <c r="Z362" s="25"/>
      <c r="AA362" s="25"/>
      <c r="AB362" s="25"/>
      <c r="AC362" s="26"/>
    </row>
    <row r="363" spans="1:29" ht="48" customHeight="1" x14ac:dyDescent="0.25">
      <c r="A363" s="15" t="s">
        <v>858</v>
      </c>
      <c r="B363" s="16" t="s">
        <v>859</v>
      </c>
      <c r="C363" s="17" t="s">
        <v>860</v>
      </c>
      <c r="D363" s="17" t="s">
        <v>861</v>
      </c>
      <c r="E363" s="18">
        <f t="shared" ref="E363:X363" si="164">E364+E366+E368+E370</f>
        <v>0</v>
      </c>
      <c r="F363" s="18">
        <f t="shared" si="164"/>
        <v>0</v>
      </c>
      <c r="G363" s="18">
        <f t="shared" si="164"/>
        <v>0</v>
      </c>
      <c r="H363" s="18">
        <f t="shared" si="164"/>
        <v>0</v>
      </c>
      <c r="I363" s="18">
        <f t="shared" si="164"/>
        <v>0</v>
      </c>
      <c r="J363" s="18">
        <f t="shared" si="164"/>
        <v>0</v>
      </c>
      <c r="K363" s="18">
        <f t="shared" si="164"/>
        <v>0</v>
      </c>
      <c r="L363" s="18">
        <f t="shared" si="164"/>
        <v>0</v>
      </c>
      <c r="M363" s="18">
        <f t="shared" si="164"/>
        <v>0</v>
      </c>
      <c r="N363" s="18">
        <f t="shared" si="164"/>
        <v>0</v>
      </c>
      <c r="O363" s="18">
        <f t="shared" si="164"/>
        <v>0</v>
      </c>
      <c r="P363" s="18">
        <f t="shared" si="164"/>
        <v>0</v>
      </c>
      <c r="Q363" s="18">
        <f t="shared" si="164"/>
        <v>0</v>
      </c>
      <c r="R363" s="18">
        <f t="shared" si="164"/>
        <v>0</v>
      </c>
      <c r="S363" s="18">
        <f t="shared" si="164"/>
        <v>0</v>
      </c>
      <c r="T363" s="18">
        <f t="shared" si="164"/>
        <v>0</v>
      </c>
      <c r="U363" s="18">
        <f t="shared" si="164"/>
        <v>0</v>
      </c>
      <c r="V363" s="18">
        <f t="shared" si="164"/>
        <v>0</v>
      </c>
      <c r="W363" s="18">
        <f t="shared" si="164"/>
        <v>0</v>
      </c>
      <c r="X363" s="18">
        <f t="shared" si="164"/>
        <v>0</v>
      </c>
      <c r="Y363" s="17"/>
      <c r="Z363" s="19"/>
      <c r="AA363" s="19"/>
      <c r="AB363" s="19"/>
      <c r="AC363" s="20"/>
    </row>
    <row r="364" spans="1:29" ht="79.5" customHeight="1" x14ac:dyDescent="0.25">
      <c r="A364" s="21" t="s">
        <v>862</v>
      </c>
      <c r="B364" s="22" t="s">
        <v>863</v>
      </c>
      <c r="C364" s="23" t="s">
        <v>860</v>
      </c>
      <c r="D364" s="23" t="s">
        <v>861</v>
      </c>
      <c r="E364" s="24">
        <f t="shared" ref="E364:X364" si="165">SUM(E365:E365)</f>
        <v>0</v>
      </c>
      <c r="F364" s="24">
        <f t="shared" si="165"/>
        <v>0</v>
      </c>
      <c r="G364" s="24">
        <f t="shared" si="165"/>
        <v>0</v>
      </c>
      <c r="H364" s="24">
        <f t="shared" si="165"/>
        <v>0</v>
      </c>
      <c r="I364" s="24">
        <f t="shared" si="165"/>
        <v>0</v>
      </c>
      <c r="J364" s="24">
        <f t="shared" si="165"/>
        <v>0</v>
      </c>
      <c r="K364" s="24">
        <f t="shared" si="165"/>
        <v>0</v>
      </c>
      <c r="L364" s="24">
        <f t="shared" si="165"/>
        <v>0</v>
      </c>
      <c r="M364" s="24">
        <f t="shared" si="165"/>
        <v>0</v>
      </c>
      <c r="N364" s="24">
        <f t="shared" si="165"/>
        <v>0</v>
      </c>
      <c r="O364" s="24">
        <f t="shared" si="165"/>
        <v>0</v>
      </c>
      <c r="P364" s="24">
        <f t="shared" si="165"/>
        <v>0</v>
      </c>
      <c r="Q364" s="24">
        <f t="shared" si="165"/>
        <v>0</v>
      </c>
      <c r="R364" s="24">
        <f t="shared" si="165"/>
        <v>0</v>
      </c>
      <c r="S364" s="24">
        <f t="shared" si="165"/>
        <v>0</v>
      </c>
      <c r="T364" s="24">
        <f t="shared" si="165"/>
        <v>0</v>
      </c>
      <c r="U364" s="24">
        <f t="shared" si="165"/>
        <v>0</v>
      </c>
      <c r="V364" s="24">
        <f t="shared" si="165"/>
        <v>0</v>
      </c>
      <c r="W364" s="24">
        <f t="shared" si="165"/>
        <v>0</v>
      </c>
      <c r="X364" s="24">
        <f t="shared" si="165"/>
        <v>0</v>
      </c>
      <c r="Y364" s="23" t="s">
        <v>864</v>
      </c>
      <c r="Z364" s="25" t="s">
        <v>450</v>
      </c>
      <c r="AA364" s="25" t="s">
        <v>42</v>
      </c>
      <c r="AB364" s="25" t="s">
        <v>42</v>
      </c>
      <c r="AC364" s="26"/>
    </row>
    <row r="365" spans="1:29" ht="70.5" customHeight="1" x14ac:dyDescent="0.25">
      <c r="A365" s="21" t="s">
        <v>865</v>
      </c>
      <c r="B365" s="22" t="s">
        <v>866</v>
      </c>
      <c r="C365" s="23"/>
      <c r="D365" s="23" t="s">
        <v>861</v>
      </c>
      <c r="E365" s="27">
        <v>0</v>
      </c>
      <c r="F365" s="27">
        <v>0</v>
      </c>
      <c r="G365" s="27">
        <v>0</v>
      </c>
      <c r="H365" s="27">
        <v>0</v>
      </c>
      <c r="I365" s="27">
        <v>0</v>
      </c>
      <c r="J365" s="27">
        <v>0</v>
      </c>
      <c r="K365" s="27">
        <v>0</v>
      </c>
      <c r="L365" s="27">
        <v>0</v>
      </c>
      <c r="M365" s="27">
        <v>0</v>
      </c>
      <c r="N365" s="27">
        <v>0</v>
      </c>
      <c r="O365" s="27">
        <v>0</v>
      </c>
      <c r="P365" s="27">
        <v>0</v>
      </c>
      <c r="Q365" s="27">
        <v>0</v>
      </c>
      <c r="R365" s="27">
        <v>0</v>
      </c>
      <c r="S365" s="27">
        <v>0</v>
      </c>
      <c r="T365" s="27">
        <v>0</v>
      </c>
      <c r="U365" s="27">
        <v>0</v>
      </c>
      <c r="V365" s="27">
        <v>0</v>
      </c>
      <c r="W365" s="27">
        <v>0</v>
      </c>
      <c r="X365" s="27">
        <v>0</v>
      </c>
      <c r="Y365" s="23"/>
      <c r="Z365" s="25"/>
      <c r="AA365" s="25"/>
      <c r="AB365" s="25"/>
      <c r="AC365" s="26"/>
    </row>
    <row r="366" spans="1:29" ht="75.75" customHeight="1" x14ac:dyDescent="0.25">
      <c r="A366" s="21" t="s">
        <v>867</v>
      </c>
      <c r="B366" s="22" t="s">
        <v>868</v>
      </c>
      <c r="C366" s="23" t="s">
        <v>860</v>
      </c>
      <c r="D366" s="23" t="s">
        <v>861</v>
      </c>
      <c r="E366" s="24">
        <f t="shared" ref="E366:X366" si="166">SUM(E367:E367)</f>
        <v>0</v>
      </c>
      <c r="F366" s="24">
        <f t="shared" si="166"/>
        <v>0</v>
      </c>
      <c r="G366" s="24">
        <f t="shared" si="166"/>
        <v>0</v>
      </c>
      <c r="H366" s="24">
        <f t="shared" si="166"/>
        <v>0</v>
      </c>
      <c r="I366" s="24">
        <f t="shared" si="166"/>
        <v>0</v>
      </c>
      <c r="J366" s="24">
        <f t="shared" si="166"/>
        <v>0</v>
      </c>
      <c r="K366" s="24">
        <f t="shared" si="166"/>
        <v>0</v>
      </c>
      <c r="L366" s="24">
        <f t="shared" si="166"/>
        <v>0</v>
      </c>
      <c r="M366" s="24">
        <f t="shared" si="166"/>
        <v>0</v>
      </c>
      <c r="N366" s="24">
        <f t="shared" si="166"/>
        <v>0</v>
      </c>
      <c r="O366" s="24">
        <f t="shared" si="166"/>
        <v>0</v>
      </c>
      <c r="P366" s="24">
        <f t="shared" si="166"/>
        <v>0</v>
      </c>
      <c r="Q366" s="24">
        <f t="shared" si="166"/>
        <v>0</v>
      </c>
      <c r="R366" s="24">
        <f t="shared" si="166"/>
        <v>0</v>
      </c>
      <c r="S366" s="24">
        <f t="shared" si="166"/>
        <v>0</v>
      </c>
      <c r="T366" s="24">
        <f t="shared" si="166"/>
        <v>0</v>
      </c>
      <c r="U366" s="24">
        <f t="shared" si="166"/>
        <v>0</v>
      </c>
      <c r="V366" s="24">
        <f t="shared" si="166"/>
        <v>0</v>
      </c>
      <c r="W366" s="24">
        <f t="shared" si="166"/>
        <v>0</v>
      </c>
      <c r="X366" s="24">
        <f t="shared" si="166"/>
        <v>0</v>
      </c>
      <c r="Y366" s="23" t="s">
        <v>869</v>
      </c>
      <c r="Z366" s="25" t="s">
        <v>450</v>
      </c>
      <c r="AA366" s="25" t="s">
        <v>42</v>
      </c>
      <c r="AB366" s="25" t="s">
        <v>109</v>
      </c>
      <c r="AC366" s="26" t="s">
        <v>870</v>
      </c>
    </row>
    <row r="367" spans="1:29" ht="83.25" customHeight="1" x14ac:dyDescent="0.25">
      <c r="A367" s="21" t="s">
        <v>871</v>
      </c>
      <c r="B367" s="22" t="s">
        <v>872</v>
      </c>
      <c r="C367" s="23"/>
      <c r="D367" s="23" t="s">
        <v>861</v>
      </c>
      <c r="E367" s="27">
        <v>0</v>
      </c>
      <c r="F367" s="27">
        <v>0</v>
      </c>
      <c r="G367" s="27">
        <v>0</v>
      </c>
      <c r="H367" s="27">
        <v>0</v>
      </c>
      <c r="I367" s="27">
        <v>0</v>
      </c>
      <c r="J367" s="27">
        <v>0</v>
      </c>
      <c r="K367" s="27">
        <v>0</v>
      </c>
      <c r="L367" s="27">
        <v>0</v>
      </c>
      <c r="M367" s="27">
        <v>0</v>
      </c>
      <c r="N367" s="27">
        <v>0</v>
      </c>
      <c r="O367" s="27">
        <v>0</v>
      </c>
      <c r="P367" s="27">
        <v>0</v>
      </c>
      <c r="Q367" s="27">
        <v>0</v>
      </c>
      <c r="R367" s="27">
        <v>0</v>
      </c>
      <c r="S367" s="27">
        <v>0</v>
      </c>
      <c r="T367" s="27">
        <v>0</v>
      </c>
      <c r="U367" s="27">
        <v>0</v>
      </c>
      <c r="V367" s="27">
        <v>0</v>
      </c>
      <c r="W367" s="27">
        <v>0</v>
      </c>
      <c r="X367" s="27">
        <v>0</v>
      </c>
      <c r="Y367" s="23"/>
      <c r="Z367" s="25"/>
      <c r="AA367" s="25"/>
      <c r="AB367" s="25"/>
      <c r="AC367" s="26"/>
    </row>
    <row r="368" spans="1:29" ht="60.75" x14ac:dyDescent="0.25">
      <c r="A368" s="21" t="s">
        <v>873</v>
      </c>
      <c r="B368" s="22" t="s">
        <v>874</v>
      </c>
      <c r="C368" s="23" t="s">
        <v>860</v>
      </c>
      <c r="D368" s="23" t="s">
        <v>861</v>
      </c>
      <c r="E368" s="24">
        <f t="shared" ref="E368:X368" si="167">SUM(E369:E369)</f>
        <v>0</v>
      </c>
      <c r="F368" s="24">
        <f t="shared" si="167"/>
        <v>0</v>
      </c>
      <c r="G368" s="24">
        <f t="shared" si="167"/>
        <v>0</v>
      </c>
      <c r="H368" s="24">
        <f t="shared" si="167"/>
        <v>0</v>
      </c>
      <c r="I368" s="24">
        <f t="shared" si="167"/>
        <v>0</v>
      </c>
      <c r="J368" s="24">
        <f t="shared" si="167"/>
        <v>0</v>
      </c>
      <c r="K368" s="24">
        <f t="shared" si="167"/>
        <v>0</v>
      </c>
      <c r="L368" s="24">
        <f t="shared" si="167"/>
        <v>0</v>
      </c>
      <c r="M368" s="24">
        <f t="shared" si="167"/>
        <v>0</v>
      </c>
      <c r="N368" s="24">
        <f t="shared" si="167"/>
        <v>0</v>
      </c>
      <c r="O368" s="24">
        <f t="shared" si="167"/>
        <v>0</v>
      </c>
      <c r="P368" s="24">
        <f t="shared" si="167"/>
        <v>0</v>
      </c>
      <c r="Q368" s="24">
        <f t="shared" si="167"/>
        <v>0</v>
      </c>
      <c r="R368" s="24">
        <f t="shared" si="167"/>
        <v>0</v>
      </c>
      <c r="S368" s="24">
        <f t="shared" si="167"/>
        <v>0</v>
      </c>
      <c r="T368" s="24">
        <f t="shared" si="167"/>
        <v>0</v>
      </c>
      <c r="U368" s="24">
        <f t="shared" si="167"/>
        <v>0</v>
      </c>
      <c r="V368" s="24">
        <f t="shared" si="167"/>
        <v>0</v>
      </c>
      <c r="W368" s="24">
        <f t="shared" si="167"/>
        <v>0</v>
      </c>
      <c r="X368" s="24">
        <f t="shared" si="167"/>
        <v>0</v>
      </c>
      <c r="Y368" s="23" t="s">
        <v>875</v>
      </c>
      <c r="Z368" s="25" t="s">
        <v>34</v>
      </c>
      <c r="AA368" s="25" t="s">
        <v>876</v>
      </c>
      <c r="AB368" s="25" t="s">
        <v>877</v>
      </c>
      <c r="AC368" s="26" t="s">
        <v>878</v>
      </c>
    </row>
    <row r="369" spans="1:29" ht="90.75" customHeight="1" x14ac:dyDescent="0.25">
      <c r="A369" s="21" t="s">
        <v>879</v>
      </c>
      <c r="B369" s="22" t="s">
        <v>880</v>
      </c>
      <c r="C369" s="23"/>
      <c r="D369" s="23" t="s">
        <v>861</v>
      </c>
      <c r="E369" s="27">
        <v>0</v>
      </c>
      <c r="F369" s="27">
        <v>0</v>
      </c>
      <c r="G369" s="27">
        <v>0</v>
      </c>
      <c r="H369" s="27">
        <v>0</v>
      </c>
      <c r="I369" s="27">
        <v>0</v>
      </c>
      <c r="J369" s="27">
        <v>0</v>
      </c>
      <c r="K369" s="27">
        <v>0</v>
      </c>
      <c r="L369" s="27">
        <v>0</v>
      </c>
      <c r="M369" s="27">
        <v>0</v>
      </c>
      <c r="N369" s="27">
        <v>0</v>
      </c>
      <c r="O369" s="27">
        <v>0</v>
      </c>
      <c r="P369" s="27">
        <v>0</v>
      </c>
      <c r="Q369" s="27">
        <v>0</v>
      </c>
      <c r="R369" s="27">
        <v>0</v>
      </c>
      <c r="S369" s="27">
        <v>0</v>
      </c>
      <c r="T369" s="27">
        <v>0</v>
      </c>
      <c r="U369" s="27">
        <v>0</v>
      </c>
      <c r="V369" s="27">
        <v>0</v>
      </c>
      <c r="W369" s="27">
        <v>0</v>
      </c>
      <c r="X369" s="27">
        <v>0</v>
      </c>
      <c r="Y369" s="23"/>
      <c r="Z369" s="25"/>
      <c r="AA369" s="25"/>
      <c r="AB369" s="25"/>
      <c r="AC369" s="26"/>
    </row>
    <row r="370" spans="1:29" ht="161.25" customHeight="1" x14ac:dyDescent="0.25">
      <c r="A370" s="21" t="s">
        <v>881</v>
      </c>
      <c r="B370" s="22" t="s">
        <v>882</v>
      </c>
      <c r="C370" s="23" t="s">
        <v>860</v>
      </c>
      <c r="D370" s="23" t="s">
        <v>861</v>
      </c>
      <c r="E370" s="24">
        <f t="shared" ref="E370:X370" si="168">SUM(E371:E371)</f>
        <v>0</v>
      </c>
      <c r="F370" s="24">
        <f t="shared" si="168"/>
        <v>0</v>
      </c>
      <c r="G370" s="24">
        <f t="shared" si="168"/>
        <v>0</v>
      </c>
      <c r="H370" s="24">
        <f t="shared" si="168"/>
        <v>0</v>
      </c>
      <c r="I370" s="24">
        <f t="shared" si="168"/>
        <v>0</v>
      </c>
      <c r="J370" s="24">
        <f t="shared" si="168"/>
        <v>0</v>
      </c>
      <c r="K370" s="24">
        <f t="shared" si="168"/>
        <v>0</v>
      </c>
      <c r="L370" s="24">
        <f t="shared" si="168"/>
        <v>0</v>
      </c>
      <c r="M370" s="24">
        <f t="shared" si="168"/>
        <v>0</v>
      </c>
      <c r="N370" s="24">
        <f t="shared" si="168"/>
        <v>0</v>
      </c>
      <c r="O370" s="24">
        <f t="shared" si="168"/>
        <v>0</v>
      </c>
      <c r="P370" s="24">
        <f t="shared" si="168"/>
        <v>0</v>
      </c>
      <c r="Q370" s="24">
        <f t="shared" si="168"/>
        <v>0</v>
      </c>
      <c r="R370" s="24">
        <f t="shared" si="168"/>
        <v>0</v>
      </c>
      <c r="S370" s="24">
        <f t="shared" si="168"/>
        <v>0</v>
      </c>
      <c r="T370" s="24">
        <f t="shared" si="168"/>
        <v>0</v>
      </c>
      <c r="U370" s="24">
        <f t="shared" si="168"/>
        <v>0</v>
      </c>
      <c r="V370" s="24">
        <f t="shared" si="168"/>
        <v>0</v>
      </c>
      <c r="W370" s="24">
        <f t="shared" si="168"/>
        <v>0</v>
      </c>
      <c r="X370" s="24">
        <f t="shared" si="168"/>
        <v>0</v>
      </c>
      <c r="Y370" s="23" t="s">
        <v>883</v>
      </c>
      <c r="Z370" s="25" t="s">
        <v>34</v>
      </c>
      <c r="AA370" s="25" t="s">
        <v>42</v>
      </c>
      <c r="AB370" s="25" t="s">
        <v>42</v>
      </c>
      <c r="AC370" s="26"/>
    </row>
    <row r="371" spans="1:29" ht="112.5" customHeight="1" x14ac:dyDescent="0.25">
      <c r="A371" s="21" t="s">
        <v>884</v>
      </c>
      <c r="B371" s="22" t="s">
        <v>885</v>
      </c>
      <c r="C371" s="23"/>
      <c r="D371" s="23" t="s">
        <v>861</v>
      </c>
      <c r="E371" s="27">
        <v>0</v>
      </c>
      <c r="F371" s="27">
        <v>0</v>
      </c>
      <c r="G371" s="27">
        <v>0</v>
      </c>
      <c r="H371" s="27">
        <v>0</v>
      </c>
      <c r="I371" s="27">
        <v>0</v>
      </c>
      <c r="J371" s="27">
        <v>0</v>
      </c>
      <c r="K371" s="27">
        <v>0</v>
      </c>
      <c r="L371" s="27">
        <v>0</v>
      </c>
      <c r="M371" s="27">
        <v>0</v>
      </c>
      <c r="N371" s="27">
        <v>0</v>
      </c>
      <c r="O371" s="27">
        <v>0</v>
      </c>
      <c r="P371" s="27">
        <v>0</v>
      </c>
      <c r="Q371" s="27">
        <v>0</v>
      </c>
      <c r="R371" s="27">
        <v>0</v>
      </c>
      <c r="S371" s="27">
        <v>0</v>
      </c>
      <c r="T371" s="27">
        <v>0</v>
      </c>
      <c r="U371" s="27">
        <v>0</v>
      </c>
      <c r="V371" s="27">
        <v>0</v>
      </c>
      <c r="W371" s="27">
        <v>0</v>
      </c>
      <c r="X371" s="27">
        <v>0</v>
      </c>
      <c r="Y371" s="23"/>
      <c r="Z371" s="25"/>
      <c r="AA371" s="25"/>
      <c r="AB371" s="25"/>
      <c r="AC371" s="26"/>
    </row>
    <row r="372" spans="1:29" ht="51.75" customHeight="1" x14ac:dyDescent="0.25">
      <c r="A372" s="3" t="s">
        <v>886</v>
      </c>
      <c r="B372" s="4" t="s">
        <v>887</v>
      </c>
      <c r="C372" s="5" t="s">
        <v>177</v>
      </c>
      <c r="D372" s="5" t="s">
        <v>888</v>
      </c>
      <c r="E372" s="6">
        <f t="shared" ref="E372:X372" si="169">E373+E418+E429+E450+E454+E460+E467+E479+E491</f>
        <v>4062176</v>
      </c>
      <c r="F372" s="6">
        <f t="shared" si="169"/>
        <v>3581386</v>
      </c>
      <c r="G372" s="6">
        <f t="shared" si="169"/>
        <v>0</v>
      </c>
      <c r="H372" s="6">
        <f t="shared" si="169"/>
        <v>75000</v>
      </c>
      <c r="I372" s="6">
        <f t="shared" si="169"/>
        <v>379100</v>
      </c>
      <c r="J372" s="6">
        <f t="shared" si="169"/>
        <v>0</v>
      </c>
      <c r="K372" s="6">
        <f t="shared" si="169"/>
        <v>0</v>
      </c>
      <c r="L372" s="6">
        <f t="shared" si="169"/>
        <v>10290</v>
      </c>
      <c r="M372" s="6">
        <f t="shared" si="169"/>
        <v>0</v>
      </c>
      <c r="N372" s="6">
        <f t="shared" si="169"/>
        <v>16400</v>
      </c>
      <c r="O372" s="6">
        <f t="shared" si="169"/>
        <v>4012802.0099999993</v>
      </c>
      <c r="P372" s="6">
        <f t="shared" si="169"/>
        <v>2110839.3999999994</v>
      </c>
      <c r="Q372" s="6">
        <f t="shared" si="169"/>
        <v>0</v>
      </c>
      <c r="R372" s="6">
        <f t="shared" si="169"/>
        <v>51792.84</v>
      </c>
      <c r="S372" s="6">
        <f t="shared" si="169"/>
        <v>319000</v>
      </c>
      <c r="T372" s="6">
        <f t="shared" si="169"/>
        <v>0</v>
      </c>
      <c r="U372" s="6">
        <f t="shared" si="169"/>
        <v>0</v>
      </c>
      <c r="V372" s="6">
        <f t="shared" si="169"/>
        <v>1511364.77</v>
      </c>
      <c r="W372" s="6">
        <f t="shared" si="169"/>
        <v>0</v>
      </c>
      <c r="X372" s="6">
        <f t="shared" si="169"/>
        <v>19805</v>
      </c>
      <c r="Y372" s="5"/>
      <c r="Z372" s="7"/>
      <c r="AA372" s="7"/>
      <c r="AB372" s="7"/>
      <c r="AC372" s="8"/>
    </row>
    <row r="373" spans="1:29" ht="55.5" customHeight="1" x14ac:dyDescent="0.25">
      <c r="A373" s="9" t="s">
        <v>889</v>
      </c>
      <c r="B373" s="10" t="s">
        <v>890</v>
      </c>
      <c r="C373" s="11"/>
      <c r="D373" s="11"/>
      <c r="E373" s="12">
        <f t="shared" ref="E373:X373" si="170">E374+E389+E394+E401+E408+E415</f>
        <v>1343380</v>
      </c>
      <c r="F373" s="12">
        <f t="shared" si="170"/>
        <v>1258090</v>
      </c>
      <c r="G373" s="12">
        <f t="shared" si="170"/>
        <v>0</v>
      </c>
      <c r="H373" s="12">
        <f t="shared" si="170"/>
        <v>75000</v>
      </c>
      <c r="I373" s="12">
        <f t="shared" si="170"/>
        <v>0</v>
      </c>
      <c r="J373" s="12">
        <f t="shared" si="170"/>
        <v>0</v>
      </c>
      <c r="K373" s="12">
        <f t="shared" si="170"/>
        <v>0</v>
      </c>
      <c r="L373" s="12">
        <f t="shared" si="170"/>
        <v>10290</v>
      </c>
      <c r="M373" s="12">
        <f t="shared" si="170"/>
        <v>0</v>
      </c>
      <c r="N373" s="12">
        <f t="shared" si="170"/>
        <v>0</v>
      </c>
      <c r="O373" s="12">
        <f t="shared" si="170"/>
        <v>1324893.2</v>
      </c>
      <c r="P373" s="12">
        <f t="shared" si="170"/>
        <v>1262810.8399999999</v>
      </c>
      <c r="Q373" s="12">
        <f t="shared" si="170"/>
        <v>0</v>
      </c>
      <c r="R373" s="12">
        <f t="shared" si="170"/>
        <v>51792.84</v>
      </c>
      <c r="S373" s="12">
        <f t="shared" si="170"/>
        <v>0</v>
      </c>
      <c r="T373" s="12">
        <f t="shared" si="170"/>
        <v>0</v>
      </c>
      <c r="U373" s="12">
        <f t="shared" si="170"/>
        <v>0</v>
      </c>
      <c r="V373" s="12">
        <f t="shared" si="170"/>
        <v>10289.52</v>
      </c>
      <c r="W373" s="12">
        <f t="shared" si="170"/>
        <v>0</v>
      </c>
      <c r="X373" s="12">
        <f t="shared" si="170"/>
        <v>0</v>
      </c>
      <c r="Y373" s="11"/>
      <c r="Z373" s="13"/>
      <c r="AA373" s="13"/>
      <c r="AB373" s="13"/>
      <c r="AC373" s="14"/>
    </row>
    <row r="374" spans="1:29" ht="70.5" customHeight="1" x14ac:dyDescent="0.25">
      <c r="A374" s="15" t="s">
        <v>891</v>
      </c>
      <c r="B374" s="16" t="s">
        <v>892</v>
      </c>
      <c r="C374" s="17"/>
      <c r="D374" s="17"/>
      <c r="E374" s="18">
        <f t="shared" ref="E374:X374" si="171">SUM(E375:E375)</f>
        <v>75000</v>
      </c>
      <c r="F374" s="18">
        <f t="shared" si="171"/>
        <v>0</v>
      </c>
      <c r="G374" s="18">
        <f t="shared" si="171"/>
        <v>0</v>
      </c>
      <c r="H374" s="18">
        <f t="shared" si="171"/>
        <v>75000</v>
      </c>
      <c r="I374" s="18">
        <f t="shared" si="171"/>
        <v>0</v>
      </c>
      <c r="J374" s="18">
        <f t="shared" si="171"/>
        <v>0</v>
      </c>
      <c r="K374" s="18">
        <f t="shared" si="171"/>
        <v>0</v>
      </c>
      <c r="L374" s="18">
        <f t="shared" si="171"/>
        <v>0</v>
      </c>
      <c r="M374" s="18">
        <f t="shared" si="171"/>
        <v>0</v>
      </c>
      <c r="N374" s="18">
        <f t="shared" si="171"/>
        <v>0</v>
      </c>
      <c r="O374" s="18">
        <f t="shared" si="171"/>
        <v>51792.84</v>
      </c>
      <c r="P374" s="18">
        <f t="shared" si="171"/>
        <v>0</v>
      </c>
      <c r="Q374" s="18">
        <f t="shared" si="171"/>
        <v>0</v>
      </c>
      <c r="R374" s="18">
        <f t="shared" si="171"/>
        <v>51792.84</v>
      </c>
      <c r="S374" s="18">
        <f t="shared" si="171"/>
        <v>0</v>
      </c>
      <c r="T374" s="18">
        <f t="shared" si="171"/>
        <v>0</v>
      </c>
      <c r="U374" s="18">
        <f t="shared" si="171"/>
        <v>0</v>
      </c>
      <c r="V374" s="18">
        <f t="shared" si="171"/>
        <v>0</v>
      </c>
      <c r="W374" s="18">
        <f t="shared" si="171"/>
        <v>0</v>
      </c>
      <c r="X374" s="18">
        <f t="shared" si="171"/>
        <v>0</v>
      </c>
      <c r="Y374" s="17"/>
      <c r="Z374" s="19"/>
      <c r="AA374" s="19"/>
      <c r="AB374" s="19"/>
      <c r="AC374" s="20"/>
    </row>
    <row r="375" spans="1:29" ht="40.5" x14ac:dyDescent="0.25">
      <c r="A375" s="21" t="s">
        <v>893</v>
      </c>
      <c r="B375" s="22" t="s">
        <v>894</v>
      </c>
      <c r="C375" s="23" t="s">
        <v>177</v>
      </c>
      <c r="D375" s="23" t="s">
        <v>261</v>
      </c>
      <c r="E375" s="24">
        <f>SUM(E376:E388)+75000</f>
        <v>75000</v>
      </c>
      <c r="F375" s="24">
        <f>SUM(F376:F388)</f>
        <v>0</v>
      </c>
      <c r="G375" s="24">
        <f>SUM(G376:G388)</f>
        <v>0</v>
      </c>
      <c r="H375" s="24">
        <f>SUM(H376:H388)+75000</f>
        <v>75000</v>
      </c>
      <c r="I375" s="24">
        <f t="shared" ref="I375:N375" si="172">SUM(I376:I388)</f>
        <v>0</v>
      </c>
      <c r="J375" s="24">
        <f t="shared" si="172"/>
        <v>0</v>
      </c>
      <c r="K375" s="24">
        <f t="shared" si="172"/>
        <v>0</v>
      </c>
      <c r="L375" s="24">
        <f t="shared" si="172"/>
        <v>0</v>
      </c>
      <c r="M375" s="24">
        <f t="shared" si="172"/>
        <v>0</v>
      </c>
      <c r="N375" s="24">
        <f t="shared" si="172"/>
        <v>0</v>
      </c>
      <c r="O375" s="24">
        <f>SUM(O376:O388)+51792.84</f>
        <v>51792.84</v>
      </c>
      <c r="P375" s="24">
        <f>SUM(P376:P388)</f>
        <v>0</v>
      </c>
      <c r="Q375" s="24">
        <f>SUM(Q376:Q388)</f>
        <v>0</v>
      </c>
      <c r="R375" s="24">
        <f>SUM(R376:R388)+51792.84</f>
        <v>51792.84</v>
      </c>
      <c r="S375" s="24">
        <f t="shared" ref="S375:X375" si="173">SUM(S376:S388)</f>
        <v>0</v>
      </c>
      <c r="T375" s="24">
        <f t="shared" si="173"/>
        <v>0</v>
      </c>
      <c r="U375" s="24">
        <f t="shared" si="173"/>
        <v>0</v>
      </c>
      <c r="V375" s="24">
        <f t="shared" si="173"/>
        <v>0</v>
      </c>
      <c r="W375" s="24">
        <f t="shared" si="173"/>
        <v>0</v>
      </c>
      <c r="X375" s="24">
        <f t="shared" si="173"/>
        <v>0</v>
      </c>
      <c r="Y375" s="23" t="s">
        <v>895</v>
      </c>
      <c r="Z375" s="25" t="s">
        <v>34</v>
      </c>
      <c r="AA375" s="25" t="s">
        <v>292</v>
      </c>
      <c r="AB375" s="25" t="s">
        <v>292</v>
      </c>
      <c r="AC375" s="26"/>
    </row>
    <row r="376" spans="1:29" x14ac:dyDescent="0.25">
      <c r="A376" s="28"/>
      <c r="B376" s="29"/>
      <c r="C376" s="30"/>
      <c r="D376" s="30"/>
      <c r="E376" s="31">
        <v>0</v>
      </c>
      <c r="F376" s="31">
        <v>0</v>
      </c>
      <c r="G376" s="31">
        <v>0</v>
      </c>
      <c r="H376" s="31">
        <v>0</v>
      </c>
      <c r="I376" s="31">
        <v>0</v>
      </c>
      <c r="J376" s="31">
        <v>0</v>
      </c>
      <c r="K376" s="31">
        <v>0</v>
      </c>
      <c r="L376" s="31">
        <v>0</v>
      </c>
      <c r="M376" s="31">
        <v>0</v>
      </c>
      <c r="N376" s="31">
        <v>0</v>
      </c>
      <c r="O376" s="31">
        <v>0</v>
      </c>
      <c r="P376" s="31">
        <v>0</v>
      </c>
      <c r="Q376" s="31">
        <v>0</v>
      </c>
      <c r="R376" s="31">
        <v>0</v>
      </c>
      <c r="S376" s="31">
        <v>0</v>
      </c>
      <c r="T376" s="31">
        <v>0</v>
      </c>
      <c r="U376" s="31">
        <v>0</v>
      </c>
      <c r="V376" s="31">
        <v>0</v>
      </c>
      <c r="W376" s="31">
        <v>0</v>
      </c>
      <c r="X376" s="31">
        <v>0</v>
      </c>
      <c r="Y376" s="30" t="s">
        <v>896</v>
      </c>
      <c r="Z376" s="32" t="s">
        <v>34</v>
      </c>
      <c r="AA376" s="32" t="s">
        <v>80</v>
      </c>
      <c r="AB376" s="32" t="s">
        <v>80</v>
      </c>
      <c r="AC376" s="33"/>
    </row>
    <row r="377" spans="1:29" x14ac:dyDescent="0.25">
      <c r="A377" s="28"/>
      <c r="B377" s="29"/>
      <c r="C377" s="30"/>
      <c r="D377" s="30"/>
      <c r="E377" s="31">
        <v>0</v>
      </c>
      <c r="F377" s="31">
        <v>0</v>
      </c>
      <c r="G377" s="31">
        <v>0</v>
      </c>
      <c r="H377" s="31">
        <v>0</v>
      </c>
      <c r="I377" s="31">
        <v>0</v>
      </c>
      <c r="J377" s="31">
        <v>0</v>
      </c>
      <c r="K377" s="31">
        <v>0</v>
      </c>
      <c r="L377" s="31">
        <v>0</v>
      </c>
      <c r="M377" s="31">
        <v>0</v>
      </c>
      <c r="N377" s="31">
        <v>0</v>
      </c>
      <c r="O377" s="31">
        <v>0</v>
      </c>
      <c r="P377" s="31">
        <v>0</v>
      </c>
      <c r="Q377" s="31">
        <v>0</v>
      </c>
      <c r="R377" s="31">
        <v>0</v>
      </c>
      <c r="S377" s="31">
        <v>0</v>
      </c>
      <c r="T377" s="31">
        <v>0</v>
      </c>
      <c r="U377" s="31">
        <v>0</v>
      </c>
      <c r="V377" s="31">
        <v>0</v>
      </c>
      <c r="W377" s="31">
        <v>0</v>
      </c>
      <c r="X377" s="31">
        <v>0</v>
      </c>
      <c r="Y377" s="30" t="s">
        <v>897</v>
      </c>
      <c r="Z377" s="32" t="s">
        <v>898</v>
      </c>
      <c r="AA377" s="32" t="s">
        <v>217</v>
      </c>
      <c r="AB377" s="32" t="s">
        <v>899</v>
      </c>
      <c r="AC377" s="33"/>
    </row>
    <row r="378" spans="1:29" ht="40.5" x14ac:dyDescent="0.25">
      <c r="A378" s="28"/>
      <c r="B378" s="29"/>
      <c r="C378" s="30"/>
      <c r="D378" s="30"/>
      <c r="E378" s="31">
        <v>0</v>
      </c>
      <c r="F378" s="31">
        <v>0</v>
      </c>
      <c r="G378" s="31">
        <v>0</v>
      </c>
      <c r="H378" s="31">
        <v>0</v>
      </c>
      <c r="I378" s="31">
        <v>0</v>
      </c>
      <c r="J378" s="31">
        <v>0</v>
      </c>
      <c r="K378" s="31">
        <v>0</v>
      </c>
      <c r="L378" s="31">
        <v>0</v>
      </c>
      <c r="M378" s="31">
        <v>0</v>
      </c>
      <c r="N378" s="31">
        <v>0</v>
      </c>
      <c r="O378" s="31">
        <v>0</v>
      </c>
      <c r="P378" s="31">
        <v>0</v>
      </c>
      <c r="Q378" s="31">
        <v>0</v>
      </c>
      <c r="R378" s="31">
        <v>0</v>
      </c>
      <c r="S378" s="31">
        <v>0</v>
      </c>
      <c r="T378" s="31">
        <v>0</v>
      </c>
      <c r="U378" s="31">
        <v>0</v>
      </c>
      <c r="V378" s="31">
        <v>0</v>
      </c>
      <c r="W378" s="31">
        <v>0</v>
      </c>
      <c r="X378" s="31">
        <v>0</v>
      </c>
      <c r="Y378" s="30" t="s">
        <v>900</v>
      </c>
      <c r="Z378" s="32" t="s">
        <v>898</v>
      </c>
      <c r="AA378" s="32" t="s">
        <v>217</v>
      </c>
      <c r="AB378" s="32" t="s">
        <v>901</v>
      </c>
      <c r="AC378" s="33"/>
    </row>
    <row r="379" spans="1:29" ht="40.5" x14ac:dyDescent="0.25">
      <c r="A379" s="28"/>
      <c r="B379" s="29"/>
      <c r="C379" s="30"/>
      <c r="D379" s="30"/>
      <c r="E379" s="31">
        <v>0</v>
      </c>
      <c r="F379" s="31">
        <v>0</v>
      </c>
      <c r="G379" s="31">
        <v>0</v>
      </c>
      <c r="H379" s="31">
        <v>0</v>
      </c>
      <c r="I379" s="31">
        <v>0</v>
      </c>
      <c r="J379" s="31">
        <v>0</v>
      </c>
      <c r="K379" s="31">
        <v>0</v>
      </c>
      <c r="L379" s="31">
        <v>0</v>
      </c>
      <c r="M379" s="31">
        <v>0</v>
      </c>
      <c r="N379" s="31">
        <v>0</v>
      </c>
      <c r="O379" s="31">
        <v>0</v>
      </c>
      <c r="P379" s="31">
        <v>0</v>
      </c>
      <c r="Q379" s="31">
        <v>0</v>
      </c>
      <c r="R379" s="31">
        <v>0</v>
      </c>
      <c r="S379" s="31">
        <v>0</v>
      </c>
      <c r="T379" s="31">
        <v>0</v>
      </c>
      <c r="U379" s="31">
        <v>0</v>
      </c>
      <c r="V379" s="31">
        <v>0</v>
      </c>
      <c r="W379" s="31">
        <v>0</v>
      </c>
      <c r="X379" s="31">
        <v>0</v>
      </c>
      <c r="Y379" s="30" t="s">
        <v>902</v>
      </c>
      <c r="Z379" s="32" t="s">
        <v>34</v>
      </c>
      <c r="AA379" s="32" t="s">
        <v>903</v>
      </c>
      <c r="AB379" s="32" t="s">
        <v>903</v>
      </c>
      <c r="AC379" s="33"/>
    </row>
    <row r="380" spans="1:29" x14ac:dyDescent="0.25">
      <c r="A380" s="28"/>
      <c r="B380" s="29"/>
      <c r="C380" s="30"/>
      <c r="D380" s="30"/>
      <c r="E380" s="31">
        <v>0</v>
      </c>
      <c r="F380" s="31">
        <v>0</v>
      </c>
      <c r="G380" s="31">
        <v>0</v>
      </c>
      <c r="H380" s="31">
        <v>0</v>
      </c>
      <c r="I380" s="31">
        <v>0</v>
      </c>
      <c r="J380" s="31">
        <v>0</v>
      </c>
      <c r="K380" s="31">
        <v>0</v>
      </c>
      <c r="L380" s="31">
        <v>0</v>
      </c>
      <c r="M380" s="31">
        <v>0</v>
      </c>
      <c r="N380" s="31">
        <v>0</v>
      </c>
      <c r="O380" s="31">
        <v>0</v>
      </c>
      <c r="P380" s="31">
        <v>0</v>
      </c>
      <c r="Q380" s="31">
        <v>0</v>
      </c>
      <c r="R380" s="31">
        <v>0</v>
      </c>
      <c r="S380" s="31">
        <v>0</v>
      </c>
      <c r="T380" s="31">
        <v>0</v>
      </c>
      <c r="U380" s="31">
        <v>0</v>
      </c>
      <c r="V380" s="31">
        <v>0</v>
      </c>
      <c r="W380" s="31">
        <v>0</v>
      </c>
      <c r="X380" s="31">
        <v>0</v>
      </c>
      <c r="Y380" s="30" t="s">
        <v>904</v>
      </c>
      <c r="Z380" s="32" t="s">
        <v>34</v>
      </c>
      <c r="AA380" s="32" t="s">
        <v>905</v>
      </c>
      <c r="AB380" s="32" t="s">
        <v>165</v>
      </c>
      <c r="AC380" s="33"/>
    </row>
    <row r="381" spans="1:29" ht="40.5" x14ac:dyDescent="0.25">
      <c r="A381" s="28"/>
      <c r="B381" s="29"/>
      <c r="C381" s="30"/>
      <c r="D381" s="30"/>
      <c r="E381" s="31">
        <v>0</v>
      </c>
      <c r="F381" s="31">
        <v>0</v>
      </c>
      <c r="G381" s="31">
        <v>0</v>
      </c>
      <c r="H381" s="31">
        <v>0</v>
      </c>
      <c r="I381" s="31">
        <v>0</v>
      </c>
      <c r="J381" s="31">
        <v>0</v>
      </c>
      <c r="K381" s="31">
        <v>0</v>
      </c>
      <c r="L381" s="31">
        <v>0</v>
      </c>
      <c r="M381" s="31">
        <v>0</v>
      </c>
      <c r="N381" s="31">
        <v>0</v>
      </c>
      <c r="O381" s="31">
        <v>0</v>
      </c>
      <c r="P381" s="31">
        <v>0</v>
      </c>
      <c r="Q381" s="31">
        <v>0</v>
      </c>
      <c r="R381" s="31">
        <v>0</v>
      </c>
      <c r="S381" s="31">
        <v>0</v>
      </c>
      <c r="T381" s="31">
        <v>0</v>
      </c>
      <c r="U381" s="31">
        <v>0</v>
      </c>
      <c r="V381" s="31">
        <v>0</v>
      </c>
      <c r="W381" s="31">
        <v>0</v>
      </c>
      <c r="X381" s="31">
        <v>0</v>
      </c>
      <c r="Y381" s="30" t="s">
        <v>906</v>
      </c>
      <c r="Z381" s="32" t="s">
        <v>34</v>
      </c>
      <c r="AA381" s="32" t="s">
        <v>217</v>
      </c>
      <c r="AB381" s="32" t="s">
        <v>49</v>
      </c>
      <c r="AC381" s="33"/>
    </row>
    <row r="382" spans="1:29" ht="50.25" customHeight="1" x14ac:dyDescent="0.25">
      <c r="A382" s="21" t="s">
        <v>907</v>
      </c>
      <c r="B382" s="22" t="s">
        <v>908</v>
      </c>
      <c r="C382" s="23"/>
      <c r="D382" s="23" t="s">
        <v>261</v>
      </c>
      <c r="E382" s="27">
        <v>0</v>
      </c>
      <c r="F382" s="27">
        <v>0</v>
      </c>
      <c r="G382" s="27">
        <v>0</v>
      </c>
      <c r="H382" s="27">
        <v>0</v>
      </c>
      <c r="I382" s="27">
        <v>0</v>
      </c>
      <c r="J382" s="27">
        <v>0</v>
      </c>
      <c r="K382" s="27">
        <v>0</v>
      </c>
      <c r="L382" s="27">
        <v>0</v>
      </c>
      <c r="M382" s="27">
        <v>0</v>
      </c>
      <c r="N382" s="27">
        <v>0</v>
      </c>
      <c r="O382" s="27">
        <v>0</v>
      </c>
      <c r="P382" s="27">
        <v>0</v>
      </c>
      <c r="Q382" s="27">
        <v>0</v>
      </c>
      <c r="R382" s="27">
        <v>0</v>
      </c>
      <c r="S382" s="27">
        <v>0</v>
      </c>
      <c r="T382" s="27">
        <v>0</v>
      </c>
      <c r="U382" s="27">
        <v>0</v>
      </c>
      <c r="V382" s="27">
        <v>0</v>
      </c>
      <c r="W382" s="27">
        <v>0</v>
      </c>
      <c r="X382" s="27">
        <v>0</v>
      </c>
      <c r="Y382" s="23"/>
      <c r="Z382" s="25"/>
      <c r="AA382" s="25"/>
      <c r="AB382" s="25"/>
      <c r="AC382" s="26"/>
    </row>
    <row r="383" spans="1:29" ht="54" customHeight="1" x14ac:dyDescent="0.25">
      <c r="A383" s="21" t="s">
        <v>909</v>
      </c>
      <c r="B383" s="22" t="s">
        <v>910</v>
      </c>
      <c r="C383" s="23"/>
      <c r="D383" s="23" t="s">
        <v>261</v>
      </c>
      <c r="E383" s="27">
        <v>0</v>
      </c>
      <c r="F383" s="27">
        <v>0</v>
      </c>
      <c r="G383" s="27">
        <v>0</v>
      </c>
      <c r="H383" s="27">
        <v>0</v>
      </c>
      <c r="I383" s="27">
        <v>0</v>
      </c>
      <c r="J383" s="27">
        <v>0</v>
      </c>
      <c r="K383" s="27">
        <v>0</v>
      </c>
      <c r="L383" s="27">
        <v>0</v>
      </c>
      <c r="M383" s="27">
        <v>0</v>
      </c>
      <c r="N383" s="27">
        <v>0</v>
      </c>
      <c r="O383" s="27">
        <v>0</v>
      </c>
      <c r="P383" s="27">
        <v>0</v>
      </c>
      <c r="Q383" s="27">
        <v>0</v>
      </c>
      <c r="R383" s="27">
        <v>0</v>
      </c>
      <c r="S383" s="27">
        <v>0</v>
      </c>
      <c r="T383" s="27">
        <v>0</v>
      </c>
      <c r="U383" s="27">
        <v>0</v>
      </c>
      <c r="V383" s="27">
        <v>0</v>
      </c>
      <c r="W383" s="27">
        <v>0</v>
      </c>
      <c r="X383" s="27">
        <v>0</v>
      </c>
      <c r="Y383" s="23"/>
      <c r="Z383" s="25"/>
      <c r="AA383" s="25"/>
      <c r="AB383" s="25"/>
      <c r="AC383" s="26"/>
    </row>
    <row r="384" spans="1:29" ht="70.5" customHeight="1" x14ac:dyDescent="0.25">
      <c r="A384" s="21" t="s">
        <v>911</v>
      </c>
      <c r="B384" s="22" t="s">
        <v>912</v>
      </c>
      <c r="C384" s="23"/>
      <c r="D384" s="23" t="s">
        <v>261</v>
      </c>
      <c r="E384" s="27">
        <v>0</v>
      </c>
      <c r="F384" s="27">
        <v>0</v>
      </c>
      <c r="G384" s="27">
        <v>0</v>
      </c>
      <c r="H384" s="27">
        <v>0</v>
      </c>
      <c r="I384" s="27">
        <v>0</v>
      </c>
      <c r="J384" s="27">
        <v>0</v>
      </c>
      <c r="K384" s="27">
        <v>0</v>
      </c>
      <c r="L384" s="27">
        <v>0</v>
      </c>
      <c r="M384" s="27">
        <v>0</v>
      </c>
      <c r="N384" s="27">
        <v>0</v>
      </c>
      <c r="O384" s="27">
        <v>0</v>
      </c>
      <c r="P384" s="27">
        <v>0</v>
      </c>
      <c r="Q384" s="27">
        <v>0</v>
      </c>
      <c r="R384" s="27">
        <v>0</v>
      </c>
      <c r="S384" s="27">
        <v>0</v>
      </c>
      <c r="T384" s="27">
        <v>0</v>
      </c>
      <c r="U384" s="27">
        <v>0</v>
      </c>
      <c r="V384" s="27">
        <v>0</v>
      </c>
      <c r="W384" s="27">
        <v>0</v>
      </c>
      <c r="X384" s="27">
        <v>0</v>
      </c>
      <c r="Y384" s="23"/>
      <c r="Z384" s="25"/>
      <c r="AA384" s="25"/>
      <c r="AB384" s="25"/>
      <c r="AC384" s="26"/>
    </row>
    <row r="385" spans="1:29" ht="78" customHeight="1" x14ac:dyDescent="0.25">
      <c r="A385" s="21" t="s">
        <v>913</v>
      </c>
      <c r="B385" s="22" t="s">
        <v>914</v>
      </c>
      <c r="C385" s="23"/>
      <c r="D385" s="23" t="s">
        <v>261</v>
      </c>
      <c r="E385" s="27">
        <v>0</v>
      </c>
      <c r="F385" s="27">
        <v>0</v>
      </c>
      <c r="G385" s="27">
        <v>0</v>
      </c>
      <c r="H385" s="27">
        <v>0</v>
      </c>
      <c r="I385" s="27">
        <v>0</v>
      </c>
      <c r="J385" s="27">
        <v>0</v>
      </c>
      <c r="K385" s="27">
        <v>0</v>
      </c>
      <c r="L385" s="27">
        <v>0</v>
      </c>
      <c r="M385" s="27">
        <v>0</v>
      </c>
      <c r="N385" s="27">
        <v>0</v>
      </c>
      <c r="O385" s="27">
        <v>0</v>
      </c>
      <c r="P385" s="27">
        <v>0</v>
      </c>
      <c r="Q385" s="27">
        <v>0</v>
      </c>
      <c r="R385" s="27">
        <v>0</v>
      </c>
      <c r="S385" s="27">
        <v>0</v>
      </c>
      <c r="T385" s="27">
        <v>0</v>
      </c>
      <c r="U385" s="27">
        <v>0</v>
      </c>
      <c r="V385" s="27">
        <v>0</v>
      </c>
      <c r="W385" s="27">
        <v>0</v>
      </c>
      <c r="X385" s="27">
        <v>0</v>
      </c>
      <c r="Y385" s="23"/>
      <c r="Z385" s="25"/>
      <c r="AA385" s="25"/>
      <c r="AB385" s="25"/>
      <c r="AC385" s="26"/>
    </row>
    <row r="386" spans="1:29" ht="70.5" customHeight="1" x14ac:dyDescent="0.25">
      <c r="A386" s="21" t="s">
        <v>915</v>
      </c>
      <c r="B386" s="22" t="s">
        <v>916</v>
      </c>
      <c r="C386" s="23"/>
      <c r="D386" s="23" t="s">
        <v>261</v>
      </c>
      <c r="E386" s="27">
        <v>0</v>
      </c>
      <c r="F386" s="27">
        <v>0</v>
      </c>
      <c r="G386" s="27">
        <v>0</v>
      </c>
      <c r="H386" s="27">
        <v>0</v>
      </c>
      <c r="I386" s="27">
        <v>0</v>
      </c>
      <c r="J386" s="27">
        <v>0</v>
      </c>
      <c r="K386" s="27">
        <v>0</v>
      </c>
      <c r="L386" s="27">
        <v>0</v>
      </c>
      <c r="M386" s="27">
        <v>0</v>
      </c>
      <c r="N386" s="27">
        <v>0</v>
      </c>
      <c r="O386" s="27">
        <v>0</v>
      </c>
      <c r="P386" s="27">
        <v>0</v>
      </c>
      <c r="Q386" s="27">
        <v>0</v>
      </c>
      <c r="R386" s="27">
        <v>0</v>
      </c>
      <c r="S386" s="27">
        <v>0</v>
      </c>
      <c r="T386" s="27">
        <v>0</v>
      </c>
      <c r="U386" s="27">
        <v>0</v>
      </c>
      <c r="V386" s="27">
        <v>0</v>
      </c>
      <c r="W386" s="27">
        <v>0</v>
      </c>
      <c r="X386" s="27">
        <v>0</v>
      </c>
      <c r="Y386" s="23"/>
      <c r="Z386" s="25"/>
      <c r="AA386" s="25"/>
      <c r="AB386" s="25"/>
      <c r="AC386" s="26"/>
    </row>
    <row r="387" spans="1:29" ht="78" customHeight="1" x14ac:dyDescent="0.25">
      <c r="A387" s="21" t="s">
        <v>917</v>
      </c>
      <c r="B387" s="22" t="s">
        <v>918</v>
      </c>
      <c r="C387" s="23"/>
      <c r="D387" s="23" t="s">
        <v>261</v>
      </c>
      <c r="E387" s="27">
        <v>0</v>
      </c>
      <c r="F387" s="27">
        <v>0</v>
      </c>
      <c r="G387" s="27">
        <v>0</v>
      </c>
      <c r="H387" s="27">
        <v>0</v>
      </c>
      <c r="I387" s="27">
        <v>0</v>
      </c>
      <c r="J387" s="27">
        <v>0</v>
      </c>
      <c r="K387" s="27">
        <v>0</v>
      </c>
      <c r="L387" s="27">
        <v>0</v>
      </c>
      <c r="M387" s="27">
        <v>0</v>
      </c>
      <c r="N387" s="27">
        <v>0</v>
      </c>
      <c r="O387" s="27">
        <v>0</v>
      </c>
      <c r="P387" s="27">
        <v>0</v>
      </c>
      <c r="Q387" s="27">
        <v>0</v>
      </c>
      <c r="R387" s="27">
        <v>0</v>
      </c>
      <c r="S387" s="27">
        <v>0</v>
      </c>
      <c r="T387" s="27">
        <v>0</v>
      </c>
      <c r="U387" s="27">
        <v>0</v>
      </c>
      <c r="V387" s="27">
        <v>0</v>
      </c>
      <c r="W387" s="27">
        <v>0</v>
      </c>
      <c r="X387" s="27">
        <v>0</v>
      </c>
      <c r="Y387" s="23"/>
      <c r="Z387" s="25"/>
      <c r="AA387" s="25"/>
      <c r="AB387" s="25"/>
      <c r="AC387" s="26"/>
    </row>
    <row r="388" spans="1:29" ht="99.75" customHeight="1" x14ac:dyDescent="0.25">
      <c r="A388" s="21" t="s">
        <v>919</v>
      </c>
      <c r="B388" s="22" t="s">
        <v>920</v>
      </c>
      <c r="C388" s="23"/>
      <c r="D388" s="23" t="s">
        <v>261</v>
      </c>
      <c r="E388" s="27">
        <v>0</v>
      </c>
      <c r="F388" s="27">
        <v>0</v>
      </c>
      <c r="G388" s="27">
        <v>0</v>
      </c>
      <c r="H388" s="27">
        <v>0</v>
      </c>
      <c r="I388" s="27">
        <v>0</v>
      </c>
      <c r="J388" s="27">
        <v>0</v>
      </c>
      <c r="K388" s="27">
        <v>0</v>
      </c>
      <c r="L388" s="27">
        <v>0</v>
      </c>
      <c r="M388" s="27">
        <v>0</v>
      </c>
      <c r="N388" s="27">
        <v>0</v>
      </c>
      <c r="O388" s="27">
        <v>0</v>
      </c>
      <c r="P388" s="27">
        <v>0</v>
      </c>
      <c r="Q388" s="27">
        <v>0</v>
      </c>
      <c r="R388" s="27">
        <v>0</v>
      </c>
      <c r="S388" s="27">
        <v>0</v>
      </c>
      <c r="T388" s="27">
        <v>0</v>
      </c>
      <c r="U388" s="27">
        <v>0</v>
      </c>
      <c r="V388" s="27">
        <v>0</v>
      </c>
      <c r="W388" s="27">
        <v>0</v>
      </c>
      <c r="X388" s="27">
        <v>0</v>
      </c>
      <c r="Y388" s="23"/>
      <c r="Z388" s="25"/>
      <c r="AA388" s="25"/>
      <c r="AB388" s="25"/>
      <c r="AC388" s="26"/>
    </row>
    <row r="389" spans="1:29" ht="105.75" customHeight="1" x14ac:dyDescent="0.25">
      <c r="A389" s="15" t="s">
        <v>921</v>
      </c>
      <c r="B389" s="16" t="s">
        <v>922</v>
      </c>
      <c r="C389" s="17"/>
      <c r="D389" s="17"/>
      <c r="E389" s="18">
        <f t="shared" ref="E389:X389" si="174">E390+E392</f>
        <v>1206511</v>
      </c>
      <c r="F389" s="18">
        <f t="shared" si="174"/>
        <v>1206511</v>
      </c>
      <c r="G389" s="18">
        <f t="shared" si="174"/>
        <v>0</v>
      </c>
      <c r="H389" s="18">
        <f t="shared" si="174"/>
        <v>0</v>
      </c>
      <c r="I389" s="18">
        <f t="shared" si="174"/>
        <v>0</v>
      </c>
      <c r="J389" s="18">
        <f t="shared" si="174"/>
        <v>0</v>
      </c>
      <c r="K389" s="18">
        <f t="shared" si="174"/>
        <v>0</v>
      </c>
      <c r="L389" s="18">
        <f t="shared" si="174"/>
        <v>0</v>
      </c>
      <c r="M389" s="18">
        <f t="shared" si="174"/>
        <v>0</v>
      </c>
      <c r="N389" s="18">
        <f t="shared" si="174"/>
        <v>0</v>
      </c>
      <c r="O389" s="18">
        <f t="shared" si="174"/>
        <v>1215020.96</v>
      </c>
      <c r="P389" s="18">
        <f t="shared" si="174"/>
        <v>1215020.96</v>
      </c>
      <c r="Q389" s="18">
        <f t="shared" si="174"/>
        <v>0</v>
      </c>
      <c r="R389" s="18">
        <f t="shared" si="174"/>
        <v>0</v>
      </c>
      <c r="S389" s="18">
        <f t="shared" si="174"/>
        <v>0</v>
      </c>
      <c r="T389" s="18">
        <f t="shared" si="174"/>
        <v>0</v>
      </c>
      <c r="U389" s="18">
        <f t="shared" si="174"/>
        <v>0</v>
      </c>
      <c r="V389" s="18">
        <f t="shared" si="174"/>
        <v>0</v>
      </c>
      <c r="W389" s="18">
        <f t="shared" si="174"/>
        <v>0</v>
      </c>
      <c r="X389" s="18">
        <f t="shared" si="174"/>
        <v>0</v>
      </c>
      <c r="Y389" s="17"/>
      <c r="Z389" s="19"/>
      <c r="AA389" s="19"/>
      <c r="AB389" s="19"/>
      <c r="AC389" s="20"/>
    </row>
    <row r="390" spans="1:29" ht="54" customHeight="1" x14ac:dyDescent="0.25">
      <c r="A390" s="21" t="s">
        <v>923</v>
      </c>
      <c r="B390" s="22" t="s">
        <v>924</v>
      </c>
      <c r="C390" s="23" t="s">
        <v>177</v>
      </c>
      <c r="D390" s="23" t="s">
        <v>261</v>
      </c>
      <c r="E390" s="24">
        <f>SUM(E391:E391)+1201511</f>
        <v>1201511</v>
      </c>
      <c r="F390" s="24">
        <f>SUM(F391:F391)+1201511</f>
        <v>1201511</v>
      </c>
      <c r="G390" s="24">
        <f t="shared" ref="G390:N390" si="175">SUM(G391:G391)</f>
        <v>0</v>
      </c>
      <c r="H390" s="24">
        <f t="shared" si="175"/>
        <v>0</v>
      </c>
      <c r="I390" s="24">
        <f t="shared" si="175"/>
        <v>0</v>
      </c>
      <c r="J390" s="24">
        <f t="shared" si="175"/>
        <v>0</v>
      </c>
      <c r="K390" s="24">
        <f t="shared" si="175"/>
        <v>0</v>
      </c>
      <c r="L390" s="24">
        <f t="shared" si="175"/>
        <v>0</v>
      </c>
      <c r="M390" s="24">
        <f t="shared" si="175"/>
        <v>0</v>
      </c>
      <c r="N390" s="24">
        <f t="shared" si="175"/>
        <v>0</v>
      </c>
      <c r="O390" s="24">
        <f>SUM(O391:O391)+1210336</f>
        <v>1210336</v>
      </c>
      <c r="P390" s="24">
        <f>SUM(P391:P391)+1210336</f>
        <v>1210336</v>
      </c>
      <c r="Q390" s="24">
        <f t="shared" ref="Q390:X390" si="176">SUM(Q391:Q391)</f>
        <v>0</v>
      </c>
      <c r="R390" s="24">
        <f t="shared" si="176"/>
        <v>0</v>
      </c>
      <c r="S390" s="24">
        <f t="shared" si="176"/>
        <v>0</v>
      </c>
      <c r="T390" s="24">
        <f t="shared" si="176"/>
        <v>0</v>
      </c>
      <c r="U390" s="24">
        <f t="shared" si="176"/>
        <v>0</v>
      </c>
      <c r="V390" s="24">
        <f t="shared" si="176"/>
        <v>0</v>
      </c>
      <c r="W390" s="24">
        <f t="shared" si="176"/>
        <v>0</v>
      </c>
      <c r="X390" s="24">
        <f t="shared" si="176"/>
        <v>0</v>
      </c>
      <c r="Y390" s="23" t="s">
        <v>925</v>
      </c>
      <c r="Z390" s="25" t="s">
        <v>34</v>
      </c>
      <c r="AA390" s="25" t="s">
        <v>161</v>
      </c>
      <c r="AB390" s="25" t="s">
        <v>161</v>
      </c>
      <c r="AC390" s="26"/>
    </row>
    <row r="391" spans="1:29" ht="94.5" customHeight="1" x14ac:dyDescent="0.25">
      <c r="A391" s="21" t="s">
        <v>926</v>
      </c>
      <c r="B391" s="22" t="s">
        <v>927</v>
      </c>
      <c r="C391" s="23"/>
      <c r="D391" s="23" t="s">
        <v>261</v>
      </c>
      <c r="E391" s="27">
        <v>0</v>
      </c>
      <c r="F391" s="27">
        <v>0</v>
      </c>
      <c r="G391" s="27">
        <v>0</v>
      </c>
      <c r="H391" s="27">
        <v>0</v>
      </c>
      <c r="I391" s="27">
        <v>0</v>
      </c>
      <c r="J391" s="27">
        <v>0</v>
      </c>
      <c r="K391" s="27">
        <v>0</v>
      </c>
      <c r="L391" s="27">
        <v>0</v>
      </c>
      <c r="M391" s="27">
        <v>0</v>
      </c>
      <c r="N391" s="27">
        <v>0</v>
      </c>
      <c r="O391" s="27">
        <v>0</v>
      </c>
      <c r="P391" s="27">
        <v>0</v>
      </c>
      <c r="Q391" s="27">
        <v>0</v>
      </c>
      <c r="R391" s="27">
        <v>0</v>
      </c>
      <c r="S391" s="27">
        <v>0</v>
      </c>
      <c r="T391" s="27">
        <v>0</v>
      </c>
      <c r="U391" s="27">
        <v>0</v>
      </c>
      <c r="V391" s="27">
        <v>0</v>
      </c>
      <c r="W391" s="27">
        <v>0</v>
      </c>
      <c r="X391" s="27">
        <v>0</v>
      </c>
      <c r="Y391" s="23"/>
      <c r="Z391" s="25"/>
      <c r="AA391" s="25"/>
      <c r="AB391" s="25"/>
      <c r="AC391" s="26"/>
    </row>
    <row r="392" spans="1:29" ht="72" customHeight="1" x14ac:dyDescent="0.25">
      <c r="A392" s="21" t="s">
        <v>928</v>
      </c>
      <c r="B392" s="22" t="s">
        <v>929</v>
      </c>
      <c r="C392" s="23" t="s">
        <v>177</v>
      </c>
      <c r="D392" s="23" t="s">
        <v>261</v>
      </c>
      <c r="E392" s="24">
        <f>SUM(E393:E393)+5000</f>
        <v>5000</v>
      </c>
      <c r="F392" s="24">
        <f>SUM(F393:F393)+5000</f>
        <v>5000</v>
      </c>
      <c r="G392" s="24">
        <f t="shared" ref="G392:N392" si="177">SUM(G393:G393)</f>
        <v>0</v>
      </c>
      <c r="H392" s="24">
        <f t="shared" si="177"/>
        <v>0</v>
      </c>
      <c r="I392" s="24">
        <f t="shared" si="177"/>
        <v>0</v>
      </c>
      <c r="J392" s="24">
        <f t="shared" si="177"/>
        <v>0</v>
      </c>
      <c r="K392" s="24">
        <f t="shared" si="177"/>
        <v>0</v>
      </c>
      <c r="L392" s="24">
        <f t="shared" si="177"/>
        <v>0</v>
      </c>
      <c r="M392" s="24">
        <f t="shared" si="177"/>
        <v>0</v>
      </c>
      <c r="N392" s="24">
        <f t="shared" si="177"/>
        <v>0</v>
      </c>
      <c r="O392" s="24">
        <f>SUM(O393:O393)+4684.96</f>
        <v>4684.96</v>
      </c>
      <c r="P392" s="24">
        <f>SUM(P393:P393)+4684.96</f>
        <v>4684.96</v>
      </c>
      <c r="Q392" s="24">
        <f t="shared" ref="Q392:X392" si="178">SUM(Q393:Q393)</f>
        <v>0</v>
      </c>
      <c r="R392" s="24">
        <f t="shared" si="178"/>
        <v>0</v>
      </c>
      <c r="S392" s="24">
        <f t="shared" si="178"/>
        <v>0</v>
      </c>
      <c r="T392" s="24">
        <f t="shared" si="178"/>
        <v>0</v>
      </c>
      <c r="U392" s="24">
        <f t="shared" si="178"/>
        <v>0</v>
      </c>
      <c r="V392" s="24">
        <f t="shared" si="178"/>
        <v>0</v>
      </c>
      <c r="W392" s="24">
        <f t="shared" si="178"/>
        <v>0</v>
      </c>
      <c r="X392" s="24">
        <f t="shared" si="178"/>
        <v>0</v>
      </c>
      <c r="Y392" s="23" t="s">
        <v>930</v>
      </c>
      <c r="Z392" s="25" t="s">
        <v>34</v>
      </c>
      <c r="AA392" s="25" t="s">
        <v>217</v>
      </c>
      <c r="AB392" s="25" t="s">
        <v>931</v>
      </c>
      <c r="AC392" s="26"/>
    </row>
    <row r="393" spans="1:29" ht="116.25" customHeight="1" x14ac:dyDescent="0.25">
      <c r="A393" s="21" t="s">
        <v>932</v>
      </c>
      <c r="B393" s="22" t="s">
        <v>933</v>
      </c>
      <c r="C393" s="23"/>
      <c r="D393" s="23" t="s">
        <v>261</v>
      </c>
      <c r="E393" s="27">
        <v>0</v>
      </c>
      <c r="F393" s="27">
        <v>0</v>
      </c>
      <c r="G393" s="27">
        <v>0</v>
      </c>
      <c r="H393" s="27">
        <v>0</v>
      </c>
      <c r="I393" s="27">
        <v>0</v>
      </c>
      <c r="J393" s="27">
        <v>0</v>
      </c>
      <c r="K393" s="27">
        <v>0</v>
      </c>
      <c r="L393" s="27">
        <v>0</v>
      </c>
      <c r="M393" s="27">
        <v>0</v>
      </c>
      <c r="N393" s="27">
        <v>0</v>
      </c>
      <c r="O393" s="27">
        <v>0</v>
      </c>
      <c r="P393" s="27">
        <v>0</v>
      </c>
      <c r="Q393" s="27">
        <v>0</v>
      </c>
      <c r="R393" s="27">
        <v>0</v>
      </c>
      <c r="S393" s="27">
        <v>0</v>
      </c>
      <c r="T393" s="27">
        <v>0</v>
      </c>
      <c r="U393" s="27">
        <v>0</v>
      </c>
      <c r="V393" s="27">
        <v>0</v>
      </c>
      <c r="W393" s="27">
        <v>0</v>
      </c>
      <c r="X393" s="27">
        <v>0</v>
      </c>
      <c r="Y393" s="23"/>
      <c r="Z393" s="25"/>
      <c r="AA393" s="25"/>
      <c r="AB393" s="25"/>
      <c r="AC393" s="26"/>
    </row>
    <row r="394" spans="1:29" ht="78" customHeight="1" x14ac:dyDescent="0.25">
      <c r="A394" s="15" t="s">
        <v>934</v>
      </c>
      <c r="B394" s="16" t="s">
        <v>935</v>
      </c>
      <c r="C394" s="17"/>
      <c r="D394" s="17"/>
      <c r="E394" s="18">
        <f t="shared" ref="E394:X394" si="179">E395+E397+E399</f>
        <v>23962</v>
      </c>
      <c r="F394" s="18">
        <f t="shared" si="179"/>
        <v>13672</v>
      </c>
      <c r="G394" s="18">
        <f t="shared" si="179"/>
        <v>0</v>
      </c>
      <c r="H394" s="18">
        <f t="shared" si="179"/>
        <v>0</v>
      </c>
      <c r="I394" s="18">
        <f t="shared" si="179"/>
        <v>0</v>
      </c>
      <c r="J394" s="18">
        <f t="shared" si="179"/>
        <v>0</v>
      </c>
      <c r="K394" s="18">
        <f t="shared" si="179"/>
        <v>0</v>
      </c>
      <c r="L394" s="18">
        <f t="shared" si="179"/>
        <v>10290</v>
      </c>
      <c r="M394" s="18">
        <f t="shared" si="179"/>
        <v>0</v>
      </c>
      <c r="N394" s="18">
        <f t="shared" si="179"/>
        <v>0</v>
      </c>
      <c r="O394" s="18">
        <f t="shared" si="179"/>
        <v>23181.010000000002</v>
      </c>
      <c r="P394" s="18">
        <f t="shared" si="179"/>
        <v>12891.49</v>
      </c>
      <c r="Q394" s="18">
        <f t="shared" si="179"/>
        <v>0</v>
      </c>
      <c r="R394" s="18">
        <f t="shared" si="179"/>
        <v>0</v>
      </c>
      <c r="S394" s="18">
        <f t="shared" si="179"/>
        <v>0</v>
      </c>
      <c r="T394" s="18">
        <f t="shared" si="179"/>
        <v>0</v>
      </c>
      <c r="U394" s="18">
        <f t="shared" si="179"/>
        <v>0</v>
      </c>
      <c r="V394" s="18">
        <f t="shared" si="179"/>
        <v>10289.52</v>
      </c>
      <c r="W394" s="18">
        <f t="shared" si="179"/>
        <v>0</v>
      </c>
      <c r="X394" s="18">
        <f t="shared" si="179"/>
        <v>0</v>
      </c>
      <c r="Y394" s="17"/>
      <c r="Z394" s="19"/>
      <c r="AA394" s="19"/>
      <c r="AB394" s="19"/>
      <c r="AC394" s="20"/>
    </row>
    <row r="395" spans="1:29" ht="74.25" customHeight="1" x14ac:dyDescent="0.25">
      <c r="A395" s="21" t="s">
        <v>936</v>
      </c>
      <c r="B395" s="22" t="s">
        <v>937</v>
      </c>
      <c r="C395" s="23" t="s">
        <v>177</v>
      </c>
      <c r="D395" s="23" t="s">
        <v>261</v>
      </c>
      <c r="E395" s="24">
        <f t="shared" ref="E395:X395" si="180">SUM(E396:E396)</f>
        <v>0</v>
      </c>
      <c r="F395" s="24">
        <f t="shared" si="180"/>
        <v>0</v>
      </c>
      <c r="G395" s="24">
        <f t="shared" si="180"/>
        <v>0</v>
      </c>
      <c r="H395" s="24">
        <f t="shared" si="180"/>
        <v>0</v>
      </c>
      <c r="I395" s="24">
        <f t="shared" si="180"/>
        <v>0</v>
      </c>
      <c r="J395" s="24">
        <f t="shared" si="180"/>
        <v>0</v>
      </c>
      <c r="K395" s="24">
        <f t="shared" si="180"/>
        <v>0</v>
      </c>
      <c r="L395" s="24">
        <f t="shared" si="180"/>
        <v>0</v>
      </c>
      <c r="M395" s="24">
        <f t="shared" si="180"/>
        <v>0</v>
      </c>
      <c r="N395" s="24">
        <f t="shared" si="180"/>
        <v>0</v>
      </c>
      <c r="O395" s="24">
        <f t="shared" si="180"/>
        <v>0</v>
      </c>
      <c r="P395" s="24">
        <f t="shared" si="180"/>
        <v>0</v>
      </c>
      <c r="Q395" s="24">
        <f t="shared" si="180"/>
        <v>0</v>
      </c>
      <c r="R395" s="24">
        <f t="shared" si="180"/>
        <v>0</v>
      </c>
      <c r="S395" s="24">
        <f t="shared" si="180"/>
        <v>0</v>
      </c>
      <c r="T395" s="24">
        <f t="shared" si="180"/>
        <v>0</v>
      </c>
      <c r="U395" s="24">
        <f t="shared" si="180"/>
        <v>0</v>
      </c>
      <c r="V395" s="24">
        <f t="shared" si="180"/>
        <v>0</v>
      </c>
      <c r="W395" s="24">
        <f t="shared" si="180"/>
        <v>0</v>
      </c>
      <c r="X395" s="24">
        <f t="shared" si="180"/>
        <v>0</v>
      </c>
      <c r="Y395" s="23" t="s">
        <v>938</v>
      </c>
      <c r="Z395" s="25" t="s">
        <v>34</v>
      </c>
      <c r="AA395" s="25" t="s">
        <v>109</v>
      </c>
      <c r="AB395" s="25" t="s">
        <v>48</v>
      </c>
      <c r="AC395" s="26" t="s">
        <v>939</v>
      </c>
    </row>
    <row r="396" spans="1:29" ht="75.75" customHeight="1" x14ac:dyDescent="0.25">
      <c r="A396" s="21" t="s">
        <v>940</v>
      </c>
      <c r="B396" s="22" t="s">
        <v>941</v>
      </c>
      <c r="C396" s="23"/>
      <c r="D396" s="23" t="s">
        <v>261</v>
      </c>
      <c r="E396" s="27">
        <v>0</v>
      </c>
      <c r="F396" s="27">
        <v>0</v>
      </c>
      <c r="G396" s="27">
        <v>0</v>
      </c>
      <c r="H396" s="27">
        <v>0</v>
      </c>
      <c r="I396" s="27">
        <v>0</v>
      </c>
      <c r="J396" s="27">
        <v>0</v>
      </c>
      <c r="K396" s="27">
        <v>0</v>
      </c>
      <c r="L396" s="27">
        <v>0</v>
      </c>
      <c r="M396" s="27">
        <v>0</v>
      </c>
      <c r="N396" s="27">
        <v>0</v>
      </c>
      <c r="O396" s="27">
        <v>0</v>
      </c>
      <c r="P396" s="27">
        <v>0</v>
      </c>
      <c r="Q396" s="27">
        <v>0</v>
      </c>
      <c r="R396" s="27">
        <v>0</v>
      </c>
      <c r="S396" s="27">
        <v>0</v>
      </c>
      <c r="T396" s="27">
        <v>0</v>
      </c>
      <c r="U396" s="27">
        <v>0</v>
      </c>
      <c r="V396" s="27">
        <v>0</v>
      </c>
      <c r="W396" s="27">
        <v>0</v>
      </c>
      <c r="X396" s="27">
        <v>0</v>
      </c>
      <c r="Y396" s="23"/>
      <c r="Z396" s="25"/>
      <c r="AA396" s="25"/>
      <c r="AB396" s="25"/>
      <c r="AC396" s="26"/>
    </row>
    <row r="397" spans="1:29" ht="54" customHeight="1" x14ac:dyDescent="0.25">
      <c r="A397" s="21" t="s">
        <v>942</v>
      </c>
      <c r="B397" s="22" t="s">
        <v>943</v>
      </c>
      <c r="C397" s="23" t="s">
        <v>177</v>
      </c>
      <c r="D397" s="23" t="s">
        <v>261</v>
      </c>
      <c r="E397" s="24">
        <f>SUM(E398:E398)+13672</f>
        <v>13672</v>
      </c>
      <c r="F397" s="24">
        <f>SUM(F398:F398)+13672</f>
        <v>13672</v>
      </c>
      <c r="G397" s="24">
        <f t="shared" ref="G397:N397" si="181">SUM(G398:G398)</f>
        <v>0</v>
      </c>
      <c r="H397" s="24">
        <f t="shared" si="181"/>
        <v>0</v>
      </c>
      <c r="I397" s="24">
        <f t="shared" si="181"/>
        <v>0</v>
      </c>
      <c r="J397" s="24">
        <f t="shared" si="181"/>
        <v>0</v>
      </c>
      <c r="K397" s="24">
        <f t="shared" si="181"/>
        <v>0</v>
      </c>
      <c r="L397" s="24">
        <f t="shared" si="181"/>
        <v>0</v>
      </c>
      <c r="M397" s="24">
        <f t="shared" si="181"/>
        <v>0</v>
      </c>
      <c r="N397" s="24">
        <f t="shared" si="181"/>
        <v>0</v>
      </c>
      <c r="O397" s="24">
        <f>SUM(O398:O398)+12891.49</f>
        <v>12891.49</v>
      </c>
      <c r="P397" s="24">
        <f>SUM(P398:P398)+12891.49</f>
        <v>12891.49</v>
      </c>
      <c r="Q397" s="24">
        <f t="shared" ref="Q397:X397" si="182">SUM(Q398:Q398)</f>
        <v>0</v>
      </c>
      <c r="R397" s="24">
        <f t="shared" si="182"/>
        <v>0</v>
      </c>
      <c r="S397" s="24">
        <f t="shared" si="182"/>
        <v>0</v>
      </c>
      <c r="T397" s="24">
        <f t="shared" si="182"/>
        <v>0</v>
      </c>
      <c r="U397" s="24">
        <f t="shared" si="182"/>
        <v>0</v>
      </c>
      <c r="V397" s="24">
        <f t="shared" si="182"/>
        <v>0</v>
      </c>
      <c r="W397" s="24">
        <f t="shared" si="182"/>
        <v>0</v>
      </c>
      <c r="X397" s="24">
        <f t="shared" si="182"/>
        <v>0</v>
      </c>
      <c r="Y397" s="23" t="s">
        <v>944</v>
      </c>
      <c r="Z397" s="25" t="s">
        <v>34</v>
      </c>
      <c r="AA397" s="25" t="s">
        <v>161</v>
      </c>
      <c r="AB397" s="25" t="s">
        <v>159</v>
      </c>
      <c r="AC397" s="26"/>
    </row>
    <row r="398" spans="1:29" ht="61.5" customHeight="1" x14ac:dyDescent="0.25">
      <c r="A398" s="21" t="s">
        <v>945</v>
      </c>
      <c r="B398" s="22" t="s">
        <v>946</v>
      </c>
      <c r="C398" s="23"/>
      <c r="D398" s="23" t="s">
        <v>261</v>
      </c>
      <c r="E398" s="27">
        <v>0</v>
      </c>
      <c r="F398" s="27">
        <v>0</v>
      </c>
      <c r="G398" s="27">
        <v>0</v>
      </c>
      <c r="H398" s="27">
        <v>0</v>
      </c>
      <c r="I398" s="27">
        <v>0</v>
      </c>
      <c r="J398" s="27">
        <v>0</v>
      </c>
      <c r="K398" s="27">
        <v>0</v>
      </c>
      <c r="L398" s="27">
        <v>0</v>
      </c>
      <c r="M398" s="27">
        <v>0</v>
      </c>
      <c r="N398" s="27">
        <v>0</v>
      </c>
      <c r="O398" s="27">
        <v>0</v>
      </c>
      <c r="P398" s="27">
        <v>0</v>
      </c>
      <c r="Q398" s="27">
        <v>0</v>
      </c>
      <c r="R398" s="27">
        <v>0</v>
      </c>
      <c r="S398" s="27">
        <v>0</v>
      </c>
      <c r="T398" s="27">
        <v>0</v>
      </c>
      <c r="U398" s="27">
        <v>0</v>
      </c>
      <c r="V398" s="27">
        <v>0</v>
      </c>
      <c r="W398" s="27">
        <v>0</v>
      </c>
      <c r="X398" s="27">
        <v>0</v>
      </c>
      <c r="Y398" s="23"/>
      <c r="Z398" s="25"/>
      <c r="AA398" s="25"/>
      <c r="AB398" s="25"/>
      <c r="AC398" s="26"/>
    </row>
    <row r="399" spans="1:29" ht="75.75" customHeight="1" x14ac:dyDescent="0.25">
      <c r="A399" s="21" t="s">
        <v>947</v>
      </c>
      <c r="B399" s="22" t="s">
        <v>948</v>
      </c>
      <c r="C399" s="23" t="s">
        <v>177</v>
      </c>
      <c r="D399" s="23" t="s">
        <v>261</v>
      </c>
      <c r="E399" s="24">
        <f>SUM(E400:E400)+10290</f>
        <v>10290</v>
      </c>
      <c r="F399" s="24">
        <f t="shared" ref="F399:K399" si="183">SUM(F400:F400)</f>
        <v>0</v>
      </c>
      <c r="G399" s="24">
        <f t="shared" si="183"/>
        <v>0</v>
      </c>
      <c r="H399" s="24">
        <f t="shared" si="183"/>
        <v>0</v>
      </c>
      <c r="I399" s="24">
        <f t="shared" si="183"/>
        <v>0</v>
      </c>
      <c r="J399" s="24">
        <f t="shared" si="183"/>
        <v>0</v>
      </c>
      <c r="K399" s="24">
        <f t="shared" si="183"/>
        <v>0</v>
      </c>
      <c r="L399" s="24">
        <f>SUM(L400:L400)+10290</f>
        <v>10290</v>
      </c>
      <c r="M399" s="24">
        <f>SUM(M400:M400)</f>
        <v>0</v>
      </c>
      <c r="N399" s="24">
        <f>SUM(N400:N400)</f>
        <v>0</v>
      </c>
      <c r="O399" s="24">
        <f>SUM(O400:O400)+10289.52</f>
        <v>10289.52</v>
      </c>
      <c r="P399" s="24">
        <f t="shared" ref="P399:U399" si="184">SUM(P400:P400)</f>
        <v>0</v>
      </c>
      <c r="Q399" s="24">
        <f t="shared" si="184"/>
        <v>0</v>
      </c>
      <c r="R399" s="24">
        <f t="shared" si="184"/>
        <v>0</v>
      </c>
      <c r="S399" s="24">
        <f t="shared" si="184"/>
        <v>0</v>
      </c>
      <c r="T399" s="24">
        <f t="shared" si="184"/>
        <v>0</v>
      </c>
      <c r="U399" s="24">
        <f t="shared" si="184"/>
        <v>0</v>
      </c>
      <c r="V399" s="24">
        <f>SUM(V400:V400)+10289.52</f>
        <v>10289.52</v>
      </c>
      <c r="W399" s="24">
        <f>SUM(W400:W400)</f>
        <v>0</v>
      </c>
      <c r="X399" s="24">
        <f>SUM(X400:X400)</f>
        <v>0</v>
      </c>
      <c r="Y399" s="23" t="s">
        <v>949</v>
      </c>
      <c r="Z399" s="25" t="s">
        <v>898</v>
      </c>
      <c r="AA399" s="25" t="s">
        <v>950</v>
      </c>
      <c r="AB399" s="25" t="s">
        <v>950</v>
      </c>
      <c r="AC399" s="26"/>
    </row>
    <row r="400" spans="1:29" ht="65.25" customHeight="1" x14ac:dyDescent="0.25">
      <c r="A400" s="21" t="s">
        <v>951</v>
      </c>
      <c r="B400" s="22" t="s">
        <v>952</v>
      </c>
      <c r="C400" s="23"/>
      <c r="D400" s="23" t="s">
        <v>261</v>
      </c>
      <c r="E400" s="27">
        <v>0</v>
      </c>
      <c r="F400" s="27">
        <v>0</v>
      </c>
      <c r="G400" s="27">
        <v>0</v>
      </c>
      <c r="H400" s="27">
        <v>0</v>
      </c>
      <c r="I400" s="27">
        <v>0</v>
      </c>
      <c r="J400" s="27">
        <v>0</v>
      </c>
      <c r="K400" s="27">
        <v>0</v>
      </c>
      <c r="L400" s="27">
        <v>0</v>
      </c>
      <c r="M400" s="27">
        <v>0</v>
      </c>
      <c r="N400" s="27">
        <v>0</v>
      </c>
      <c r="O400" s="27">
        <v>0</v>
      </c>
      <c r="P400" s="27">
        <v>0</v>
      </c>
      <c r="Q400" s="27">
        <v>0</v>
      </c>
      <c r="R400" s="27">
        <v>0</v>
      </c>
      <c r="S400" s="27">
        <v>0</v>
      </c>
      <c r="T400" s="27">
        <v>0</v>
      </c>
      <c r="U400" s="27">
        <v>0</v>
      </c>
      <c r="V400" s="27">
        <v>0</v>
      </c>
      <c r="W400" s="27">
        <v>0</v>
      </c>
      <c r="X400" s="27">
        <v>0</v>
      </c>
      <c r="Y400" s="23"/>
      <c r="Z400" s="25"/>
      <c r="AA400" s="25"/>
      <c r="AB400" s="25"/>
      <c r="AC400" s="26"/>
    </row>
    <row r="401" spans="1:29" ht="57.75" customHeight="1" x14ac:dyDescent="0.25">
      <c r="A401" s="15" t="s">
        <v>953</v>
      </c>
      <c r="B401" s="16" t="s">
        <v>954</v>
      </c>
      <c r="C401" s="17"/>
      <c r="D401" s="17"/>
      <c r="E401" s="18">
        <f t="shared" ref="E401:X401" si="185">E402+E404+E406</f>
        <v>23267</v>
      </c>
      <c r="F401" s="18">
        <f t="shared" si="185"/>
        <v>23267</v>
      </c>
      <c r="G401" s="18">
        <f t="shared" si="185"/>
        <v>0</v>
      </c>
      <c r="H401" s="18">
        <f t="shared" si="185"/>
        <v>0</v>
      </c>
      <c r="I401" s="18">
        <f t="shared" si="185"/>
        <v>0</v>
      </c>
      <c r="J401" s="18">
        <f t="shared" si="185"/>
        <v>0</v>
      </c>
      <c r="K401" s="18">
        <f t="shared" si="185"/>
        <v>0</v>
      </c>
      <c r="L401" s="18">
        <f t="shared" si="185"/>
        <v>0</v>
      </c>
      <c r="M401" s="18">
        <f t="shared" si="185"/>
        <v>0</v>
      </c>
      <c r="N401" s="18">
        <f t="shared" si="185"/>
        <v>0</v>
      </c>
      <c r="O401" s="18">
        <f t="shared" si="185"/>
        <v>23258.39</v>
      </c>
      <c r="P401" s="18">
        <f t="shared" si="185"/>
        <v>23258.39</v>
      </c>
      <c r="Q401" s="18">
        <f t="shared" si="185"/>
        <v>0</v>
      </c>
      <c r="R401" s="18">
        <f t="shared" si="185"/>
        <v>0</v>
      </c>
      <c r="S401" s="18">
        <f t="shared" si="185"/>
        <v>0</v>
      </c>
      <c r="T401" s="18">
        <f t="shared" si="185"/>
        <v>0</v>
      </c>
      <c r="U401" s="18">
        <f t="shared" si="185"/>
        <v>0</v>
      </c>
      <c r="V401" s="18">
        <f t="shared" si="185"/>
        <v>0</v>
      </c>
      <c r="W401" s="18">
        <f t="shared" si="185"/>
        <v>0</v>
      </c>
      <c r="X401" s="18">
        <f t="shared" si="185"/>
        <v>0</v>
      </c>
      <c r="Y401" s="17"/>
      <c r="Z401" s="19"/>
      <c r="AA401" s="19"/>
      <c r="AB401" s="19"/>
      <c r="AC401" s="20"/>
    </row>
    <row r="402" spans="1:29" ht="75.75" customHeight="1" x14ac:dyDescent="0.25">
      <c r="A402" s="21" t="s">
        <v>955</v>
      </c>
      <c r="B402" s="22" t="s">
        <v>956</v>
      </c>
      <c r="C402" s="23" t="s">
        <v>177</v>
      </c>
      <c r="D402" s="23" t="s">
        <v>235</v>
      </c>
      <c r="E402" s="24">
        <f t="shared" ref="E402:X402" si="186">SUM(E403:E403)</f>
        <v>0</v>
      </c>
      <c r="F402" s="24">
        <f t="shared" si="186"/>
        <v>0</v>
      </c>
      <c r="G402" s="24">
        <f t="shared" si="186"/>
        <v>0</v>
      </c>
      <c r="H402" s="24">
        <f t="shared" si="186"/>
        <v>0</v>
      </c>
      <c r="I402" s="24">
        <f t="shared" si="186"/>
        <v>0</v>
      </c>
      <c r="J402" s="24">
        <f t="shared" si="186"/>
        <v>0</v>
      </c>
      <c r="K402" s="24">
        <f t="shared" si="186"/>
        <v>0</v>
      </c>
      <c r="L402" s="24">
        <f t="shared" si="186"/>
        <v>0</v>
      </c>
      <c r="M402" s="24">
        <f t="shared" si="186"/>
        <v>0</v>
      </c>
      <c r="N402" s="24">
        <f t="shared" si="186"/>
        <v>0</v>
      </c>
      <c r="O402" s="24">
        <f t="shared" si="186"/>
        <v>0</v>
      </c>
      <c r="P402" s="24">
        <f t="shared" si="186"/>
        <v>0</v>
      </c>
      <c r="Q402" s="24">
        <f t="shared" si="186"/>
        <v>0</v>
      </c>
      <c r="R402" s="24">
        <f t="shared" si="186"/>
        <v>0</v>
      </c>
      <c r="S402" s="24">
        <f t="shared" si="186"/>
        <v>0</v>
      </c>
      <c r="T402" s="24">
        <f t="shared" si="186"/>
        <v>0</v>
      </c>
      <c r="U402" s="24">
        <f t="shared" si="186"/>
        <v>0</v>
      </c>
      <c r="V402" s="24">
        <f t="shared" si="186"/>
        <v>0</v>
      </c>
      <c r="W402" s="24">
        <f t="shared" si="186"/>
        <v>0</v>
      </c>
      <c r="X402" s="24">
        <f t="shared" si="186"/>
        <v>0</v>
      </c>
      <c r="Y402" s="23" t="s">
        <v>957</v>
      </c>
      <c r="Z402" s="25" t="s">
        <v>34</v>
      </c>
      <c r="AA402" s="25" t="s">
        <v>42</v>
      </c>
      <c r="AB402" s="25" t="s">
        <v>48</v>
      </c>
      <c r="AC402" s="26" t="s">
        <v>958</v>
      </c>
    </row>
    <row r="403" spans="1:29" ht="48" customHeight="1" x14ac:dyDescent="0.25">
      <c r="A403" s="21" t="s">
        <v>959</v>
      </c>
      <c r="B403" s="22" t="s">
        <v>960</v>
      </c>
      <c r="C403" s="23"/>
      <c r="D403" s="23" t="s">
        <v>235</v>
      </c>
      <c r="E403" s="27">
        <v>0</v>
      </c>
      <c r="F403" s="27">
        <v>0</v>
      </c>
      <c r="G403" s="27">
        <v>0</v>
      </c>
      <c r="H403" s="27">
        <v>0</v>
      </c>
      <c r="I403" s="27">
        <v>0</v>
      </c>
      <c r="J403" s="27">
        <v>0</v>
      </c>
      <c r="K403" s="27">
        <v>0</v>
      </c>
      <c r="L403" s="27">
        <v>0</v>
      </c>
      <c r="M403" s="27">
        <v>0</v>
      </c>
      <c r="N403" s="27">
        <v>0</v>
      </c>
      <c r="O403" s="27">
        <v>0</v>
      </c>
      <c r="P403" s="27">
        <v>0</v>
      </c>
      <c r="Q403" s="27">
        <v>0</v>
      </c>
      <c r="R403" s="27">
        <v>0</v>
      </c>
      <c r="S403" s="27">
        <v>0</v>
      </c>
      <c r="T403" s="27">
        <v>0</v>
      </c>
      <c r="U403" s="27">
        <v>0</v>
      </c>
      <c r="V403" s="27">
        <v>0</v>
      </c>
      <c r="W403" s="27">
        <v>0</v>
      </c>
      <c r="X403" s="27">
        <v>0</v>
      </c>
      <c r="Y403" s="23"/>
      <c r="Z403" s="25"/>
      <c r="AA403" s="25"/>
      <c r="AB403" s="25"/>
      <c r="AC403" s="26"/>
    </row>
    <row r="404" spans="1:29" ht="78" customHeight="1" x14ac:dyDescent="0.25">
      <c r="A404" s="21" t="s">
        <v>961</v>
      </c>
      <c r="B404" s="22" t="s">
        <v>962</v>
      </c>
      <c r="C404" s="23" t="s">
        <v>177</v>
      </c>
      <c r="D404" s="23" t="s">
        <v>448</v>
      </c>
      <c r="E404" s="24">
        <f>SUM(E405:E405)+20000</f>
        <v>20000</v>
      </c>
      <c r="F404" s="24">
        <f>SUM(F405:F405)+20000</f>
        <v>20000</v>
      </c>
      <c r="G404" s="24">
        <f t="shared" ref="G404:N404" si="187">SUM(G405:G405)</f>
        <v>0</v>
      </c>
      <c r="H404" s="24">
        <f t="shared" si="187"/>
        <v>0</v>
      </c>
      <c r="I404" s="24">
        <f t="shared" si="187"/>
        <v>0</v>
      </c>
      <c r="J404" s="24">
        <f t="shared" si="187"/>
        <v>0</v>
      </c>
      <c r="K404" s="24">
        <f t="shared" si="187"/>
        <v>0</v>
      </c>
      <c r="L404" s="24">
        <f t="shared" si="187"/>
        <v>0</v>
      </c>
      <c r="M404" s="24">
        <f t="shared" si="187"/>
        <v>0</v>
      </c>
      <c r="N404" s="24">
        <f t="shared" si="187"/>
        <v>0</v>
      </c>
      <c r="O404" s="24">
        <f>SUM(O405:O405)+19991.39</f>
        <v>19991.39</v>
      </c>
      <c r="P404" s="24">
        <f>SUM(P405:P405)+19991.39</f>
        <v>19991.39</v>
      </c>
      <c r="Q404" s="24">
        <f t="shared" ref="Q404:X404" si="188">SUM(Q405:Q405)</f>
        <v>0</v>
      </c>
      <c r="R404" s="24">
        <f t="shared" si="188"/>
        <v>0</v>
      </c>
      <c r="S404" s="24">
        <f t="shared" si="188"/>
        <v>0</v>
      </c>
      <c r="T404" s="24">
        <f t="shared" si="188"/>
        <v>0</v>
      </c>
      <c r="U404" s="24">
        <f t="shared" si="188"/>
        <v>0</v>
      </c>
      <c r="V404" s="24">
        <f t="shared" si="188"/>
        <v>0</v>
      </c>
      <c r="W404" s="24">
        <f t="shared" si="188"/>
        <v>0</v>
      </c>
      <c r="X404" s="24">
        <f t="shared" si="188"/>
        <v>0</v>
      </c>
      <c r="Y404" s="23" t="s">
        <v>963</v>
      </c>
      <c r="Z404" s="25" t="s">
        <v>34</v>
      </c>
      <c r="AA404" s="25" t="s">
        <v>42</v>
      </c>
      <c r="AB404" s="25" t="s">
        <v>42</v>
      </c>
      <c r="AC404" s="26"/>
    </row>
    <row r="405" spans="1:29" ht="75.75" customHeight="1" x14ac:dyDescent="0.25">
      <c r="A405" s="21" t="s">
        <v>964</v>
      </c>
      <c r="B405" s="22" t="s">
        <v>965</v>
      </c>
      <c r="C405" s="23"/>
      <c r="D405" s="23" t="s">
        <v>448</v>
      </c>
      <c r="E405" s="27">
        <v>0</v>
      </c>
      <c r="F405" s="27">
        <v>0</v>
      </c>
      <c r="G405" s="27">
        <v>0</v>
      </c>
      <c r="H405" s="27">
        <v>0</v>
      </c>
      <c r="I405" s="27">
        <v>0</v>
      </c>
      <c r="J405" s="27">
        <v>0</v>
      </c>
      <c r="K405" s="27">
        <v>0</v>
      </c>
      <c r="L405" s="27">
        <v>0</v>
      </c>
      <c r="M405" s="27">
        <v>0</v>
      </c>
      <c r="N405" s="27">
        <v>0</v>
      </c>
      <c r="O405" s="27">
        <v>0</v>
      </c>
      <c r="P405" s="27">
        <v>0</v>
      </c>
      <c r="Q405" s="27">
        <v>0</v>
      </c>
      <c r="R405" s="27">
        <v>0</v>
      </c>
      <c r="S405" s="27">
        <v>0</v>
      </c>
      <c r="T405" s="27">
        <v>0</v>
      </c>
      <c r="U405" s="27">
        <v>0</v>
      </c>
      <c r="V405" s="27">
        <v>0</v>
      </c>
      <c r="W405" s="27">
        <v>0</v>
      </c>
      <c r="X405" s="27">
        <v>0</v>
      </c>
      <c r="Y405" s="23"/>
      <c r="Z405" s="25"/>
      <c r="AA405" s="25"/>
      <c r="AB405" s="25"/>
      <c r="AC405" s="26"/>
    </row>
    <row r="406" spans="1:29" ht="50.25" customHeight="1" x14ac:dyDescent="0.25">
      <c r="A406" s="21" t="s">
        <v>966</v>
      </c>
      <c r="B406" s="22" t="s">
        <v>967</v>
      </c>
      <c r="C406" s="23"/>
      <c r="D406" s="23" t="s">
        <v>235</v>
      </c>
      <c r="E406" s="24">
        <f>SUM(E407:E407)+3267</f>
        <v>3267</v>
      </c>
      <c r="F406" s="24">
        <f>SUM(F407:F407)+3267</f>
        <v>3267</v>
      </c>
      <c r="G406" s="24">
        <f t="shared" ref="G406:N406" si="189">SUM(G407:G407)</f>
        <v>0</v>
      </c>
      <c r="H406" s="24">
        <f t="shared" si="189"/>
        <v>0</v>
      </c>
      <c r="I406" s="24">
        <f t="shared" si="189"/>
        <v>0</v>
      </c>
      <c r="J406" s="24">
        <f t="shared" si="189"/>
        <v>0</v>
      </c>
      <c r="K406" s="24">
        <f t="shared" si="189"/>
        <v>0</v>
      </c>
      <c r="L406" s="24">
        <f t="shared" si="189"/>
        <v>0</v>
      </c>
      <c r="M406" s="24">
        <f t="shared" si="189"/>
        <v>0</v>
      </c>
      <c r="N406" s="24">
        <f t="shared" si="189"/>
        <v>0</v>
      </c>
      <c r="O406" s="24">
        <f>SUM(O407:O407)+3267</f>
        <v>3267</v>
      </c>
      <c r="P406" s="24">
        <f>SUM(P407:P407)+3267</f>
        <v>3267</v>
      </c>
      <c r="Q406" s="24">
        <f t="shared" ref="Q406:X406" si="190">SUM(Q407:Q407)</f>
        <v>0</v>
      </c>
      <c r="R406" s="24">
        <f t="shared" si="190"/>
        <v>0</v>
      </c>
      <c r="S406" s="24">
        <f t="shared" si="190"/>
        <v>0</v>
      </c>
      <c r="T406" s="24">
        <f t="shared" si="190"/>
        <v>0</v>
      </c>
      <c r="U406" s="24">
        <f t="shared" si="190"/>
        <v>0</v>
      </c>
      <c r="V406" s="24">
        <f t="shared" si="190"/>
        <v>0</v>
      </c>
      <c r="W406" s="24">
        <f t="shared" si="190"/>
        <v>0</v>
      </c>
      <c r="X406" s="24">
        <f t="shared" si="190"/>
        <v>0</v>
      </c>
      <c r="Y406" s="23" t="s">
        <v>968</v>
      </c>
      <c r="Z406" s="25" t="s">
        <v>34</v>
      </c>
      <c r="AA406" s="25" t="s">
        <v>42</v>
      </c>
      <c r="AB406" s="25" t="s">
        <v>42</v>
      </c>
      <c r="AC406" s="26"/>
    </row>
    <row r="407" spans="1:29" ht="55.5" customHeight="1" x14ac:dyDescent="0.25">
      <c r="A407" s="21" t="s">
        <v>969</v>
      </c>
      <c r="B407" s="22" t="s">
        <v>970</v>
      </c>
      <c r="C407" s="23"/>
      <c r="D407" s="23" t="s">
        <v>235</v>
      </c>
      <c r="E407" s="27">
        <v>0</v>
      </c>
      <c r="F407" s="27">
        <v>0</v>
      </c>
      <c r="G407" s="27">
        <v>0</v>
      </c>
      <c r="H407" s="27">
        <v>0</v>
      </c>
      <c r="I407" s="27">
        <v>0</v>
      </c>
      <c r="J407" s="27">
        <v>0</v>
      </c>
      <c r="K407" s="27">
        <v>0</v>
      </c>
      <c r="L407" s="27">
        <v>0</v>
      </c>
      <c r="M407" s="27">
        <v>0</v>
      </c>
      <c r="N407" s="27">
        <v>0</v>
      </c>
      <c r="O407" s="27">
        <v>0</v>
      </c>
      <c r="P407" s="27">
        <v>0</v>
      </c>
      <c r="Q407" s="27">
        <v>0</v>
      </c>
      <c r="R407" s="27">
        <v>0</v>
      </c>
      <c r="S407" s="27">
        <v>0</v>
      </c>
      <c r="T407" s="27">
        <v>0</v>
      </c>
      <c r="U407" s="27">
        <v>0</v>
      </c>
      <c r="V407" s="27">
        <v>0</v>
      </c>
      <c r="W407" s="27">
        <v>0</v>
      </c>
      <c r="X407" s="27">
        <v>0</v>
      </c>
      <c r="Y407" s="23"/>
      <c r="Z407" s="25"/>
      <c r="AA407" s="25"/>
      <c r="AB407" s="25"/>
      <c r="AC407" s="26"/>
    </row>
    <row r="408" spans="1:29" ht="102" customHeight="1" x14ac:dyDescent="0.25">
      <c r="A408" s="15" t="s">
        <v>971</v>
      </c>
      <c r="B408" s="16" t="s">
        <v>972</v>
      </c>
      <c r="C408" s="17"/>
      <c r="D408" s="17"/>
      <c r="E408" s="18">
        <f t="shared" ref="E408:X408" si="191">E409+E411+E413</f>
        <v>4640</v>
      </c>
      <c r="F408" s="18">
        <f t="shared" si="191"/>
        <v>4640</v>
      </c>
      <c r="G408" s="18">
        <f t="shared" si="191"/>
        <v>0</v>
      </c>
      <c r="H408" s="18">
        <f t="shared" si="191"/>
        <v>0</v>
      </c>
      <c r="I408" s="18">
        <f t="shared" si="191"/>
        <v>0</v>
      </c>
      <c r="J408" s="18">
        <f t="shared" si="191"/>
        <v>0</v>
      </c>
      <c r="K408" s="18">
        <f t="shared" si="191"/>
        <v>0</v>
      </c>
      <c r="L408" s="18">
        <f t="shared" si="191"/>
        <v>0</v>
      </c>
      <c r="M408" s="18">
        <f t="shared" si="191"/>
        <v>0</v>
      </c>
      <c r="N408" s="18">
        <f t="shared" si="191"/>
        <v>0</v>
      </c>
      <c r="O408" s="18">
        <f t="shared" si="191"/>
        <v>1640</v>
      </c>
      <c r="P408" s="18">
        <f t="shared" si="191"/>
        <v>1640</v>
      </c>
      <c r="Q408" s="18">
        <f t="shared" si="191"/>
        <v>0</v>
      </c>
      <c r="R408" s="18">
        <f t="shared" si="191"/>
        <v>0</v>
      </c>
      <c r="S408" s="18">
        <f t="shared" si="191"/>
        <v>0</v>
      </c>
      <c r="T408" s="18">
        <f t="shared" si="191"/>
        <v>0</v>
      </c>
      <c r="U408" s="18">
        <f t="shared" si="191"/>
        <v>0</v>
      </c>
      <c r="V408" s="18">
        <f t="shared" si="191"/>
        <v>0</v>
      </c>
      <c r="W408" s="18">
        <f t="shared" si="191"/>
        <v>0</v>
      </c>
      <c r="X408" s="18">
        <f t="shared" si="191"/>
        <v>0</v>
      </c>
      <c r="Y408" s="17"/>
      <c r="Z408" s="19"/>
      <c r="AA408" s="19"/>
      <c r="AB408" s="19"/>
      <c r="AC408" s="20"/>
    </row>
    <row r="409" spans="1:29" ht="102" customHeight="1" x14ac:dyDescent="0.25">
      <c r="A409" s="21" t="s">
        <v>973</v>
      </c>
      <c r="B409" s="22" t="s">
        <v>974</v>
      </c>
      <c r="C409" s="23" t="s">
        <v>177</v>
      </c>
      <c r="D409" s="23" t="s">
        <v>567</v>
      </c>
      <c r="E409" s="24">
        <f>SUM(E410:E410)+4640</f>
        <v>4640</v>
      </c>
      <c r="F409" s="24">
        <f>SUM(F410:F410)+4640</f>
        <v>4640</v>
      </c>
      <c r="G409" s="24">
        <f t="shared" ref="G409:N409" si="192">SUM(G410:G410)</f>
        <v>0</v>
      </c>
      <c r="H409" s="24">
        <f t="shared" si="192"/>
        <v>0</v>
      </c>
      <c r="I409" s="24">
        <f t="shared" si="192"/>
        <v>0</v>
      </c>
      <c r="J409" s="24">
        <f t="shared" si="192"/>
        <v>0</v>
      </c>
      <c r="K409" s="24">
        <f t="shared" si="192"/>
        <v>0</v>
      </c>
      <c r="L409" s="24">
        <f t="shared" si="192"/>
        <v>0</v>
      </c>
      <c r="M409" s="24">
        <f t="shared" si="192"/>
        <v>0</v>
      </c>
      <c r="N409" s="24">
        <f t="shared" si="192"/>
        <v>0</v>
      </c>
      <c r="O409" s="24">
        <f>SUM(O410:O410)+1640</f>
        <v>1640</v>
      </c>
      <c r="P409" s="24">
        <f>SUM(P410:P410)+1640</f>
        <v>1640</v>
      </c>
      <c r="Q409" s="24">
        <f t="shared" ref="Q409:X409" si="193">SUM(Q410:Q410)</f>
        <v>0</v>
      </c>
      <c r="R409" s="24">
        <f t="shared" si="193"/>
        <v>0</v>
      </c>
      <c r="S409" s="24">
        <f t="shared" si="193"/>
        <v>0</v>
      </c>
      <c r="T409" s="24">
        <f t="shared" si="193"/>
        <v>0</v>
      </c>
      <c r="U409" s="24">
        <f t="shared" si="193"/>
        <v>0</v>
      </c>
      <c r="V409" s="24">
        <f t="shared" si="193"/>
        <v>0</v>
      </c>
      <c r="W409" s="24">
        <f t="shared" si="193"/>
        <v>0</v>
      </c>
      <c r="X409" s="24">
        <f t="shared" si="193"/>
        <v>0</v>
      </c>
      <c r="Y409" s="23" t="s">
        <v>975</v>
      </c>
      <c r="Z409" s="25" t="s">
        <v>34</v>
      </c>
      <c r="AA409" s="25" t="s">
        <v>292</v>
      </c>
      <c r="AB409" s="25" t="s">
        <v>108</v>
      </c>
      <c r="AC409" s="26"/>
    </row>
    <row r="410" spans="1:29" ht="87" customHeight="1" x14ac:dyDescent="0.25">
      <c r="A410" s="21" t="s">
        <v>976</v>
      </c>
      <c r="B410" s="22" t="s">
        <v>977</v>
      </c>
      <c r="C410" s="23"/>
      <c r="D410" s="23" t="s">
        <v>567</v>
      </c>
      <c r="E410" s="27">
        <v>0</v>
      </c>
      <c r="F410" s="27">
        <v>0</v>
      </c>
      <c r="G410" s="27">
        <v>0</v>
      </c>
      <c r="H410" s="27">
        <v>0</v>
      </c>
      <c r="I410" s="27">
        <v>0</v>
      </c>
      <c r="J410" s="27">
        <v>0</v>
      </c>
      <c r="K410" s="27">
        <v>0</v>
      </c>
      <c r="L410" s="27">
        <v>0</v>
      </c>
      <c r="M410" s="27">
        <v>0</v>
      </c>
      <c r="N410" s="27">
        <v>0</v>
      </c>
      <c r="O410" s="27">
        <v>0</v>
      </c>
      <c r="P410" s="27">
        <v>0</v>
      </c>
      <c r="Q410" s="27">
        <v>0</v>
      </c>
      <c r="R410" s="27">
        <v>0</v>
      </c>
      <c r="S410" s="27">
        <v>0</v>
      </c>
      <c r="T410" s="27">
        <v>0</v>
      </c>
      <c r="U410" s="27">
        <v>0</v>
      </c>
      <c r="V410" s="27">
        <v>0</v>
      </c>
      <c r="W410" s="27">
        <v>0</v>
      </c>
      <c r="X410" s="27">
        <v>0</v>
      </c>
      <c r="Y410" s="23"/>
      <c r="Z410" s="25"/>
      <c r="AA410" s="25"/>
      <c r="AB410" s="25"/>
      <c r="AC410" s="26"/>
    </row>
    <row r="411" spans="1:29" ht="75.75" customHeight="1" x14ac:dyDescent="0.25">
      <c r="A411" s="21" t="s">
        <v>978</v>
      </c>
      <c r="B411" s="22" t="s">
        <v>979</v>
      </c>
      <c r="C411" s="23" t="s">
        <v>177</v>
      </c>
      <c r="D411" s="23" t="s">
        <v>567</v>
      </c>
      <c r="E411" s="24">
        <f t="shared" ref="E411:X411" si="194">SUM(E412:E412)</f>
        <v>0</v>
      </c>
      <c r="F411" s="24">
        <f t="shared" si="194"/>
        <v>0</v>
      </c>
      <c r="G411" s="24">
        <f t="shared" si="194"/>
        <v>0</v>
      </c>
      <c r="H411" s="24">
        <f t="shared" si="194"/>
        <v>0</v>
      </c>
      <c r="I411" s="24">
        <f t="shared" si="194"/>
        <v>0</v>
      </c>
      <c r="J411" s="24">
        <f t="shared" si="194"/>
        <v>0</v>
      </c>
      <c r="K411" s="24">
        <f t="shared" si="194"/>
        <v>0</v>
      </c>
      <c r="L411" s="24">
        <f t="shared" si="194"/>
        <v>0</v>
      </c>
      <c r="M411" s="24">
        <f t="shared" si="194"/>
        <v>0</v>
      </c>
      <c r="N411" s="24">
        <f t="shared" si="194"/>
        <v>0</v>
      </c>
      <c r="O411" s="24">
        <f t="shared" si="194"/>
        <v>0</v>
      </c>
      <c r="P411" s="24">
        <f t="shared" si="194"/>
        <v>0</v>
      </c>
      <c r="Q411" s="24">
        <f t="shared" si="194"/>
        <v>0</v>
      </c>
      <c r="R411" s="24">
        <f t="shared" si="194"/>
        <v>0</v>
      </c>
      <c r="S411" s="24">
        <f t="shared" si="194"/>
        <v>0</v>
      </c>
      <c r="T411" s="24">
        <f t="shared" si="194"/>
        <v>0</v>
      </c>
      <c r="U411" s="24">
        <f t="shared" si="194"/>
        <v>0</v>
      </c>
      <c r="V411" s="24">
        <f t="shared" si="194"/>
        <v>0</v>
      </c>
      <c r="W411" s="24">
        <f t="shared" si="194"/>
        <v>0</v>
      </c>
      <c r="X411" s="24">
        <f t="shared" si="194"/>
        <v>0</v>
      </c>
      <c r="Y411" s="23" t="s">
        <v>980</v>
      </c>
      <c r="Z411" s="25" t="s">
        <v>34</v>
      </c>
      <c r="AA411" s="25" t="s">
        <v>292</v>
      </c>
      <c r="AB411" s="25" t="s">
        <v>48</v>
      </c>
      <c r="AC411" s="26" t="s">
        <v>981</v>
      </c>
    </row>
    <row r="412" spans="1:29" ht="51.75" customHeight="1" x14ac:dyDescent="0.25">
      <c r="A412" s="21" t="s">
        <v>982</v>
      </c>
      <c r="B412" s="22" t="s">
        <v>983</v>
      </c>
      <c r="C412" s="23"/>
      <c r="D412" s="23" t="s">
        <v>567</v>
      </c>
      <c r="E412" s="27">
        <v>0</v>
      </c>
      <c r="F412" s="27">
        <v>0</v>
      </c>
      <c r="G412" s="27">
        <v>0</v>
      </c>
      <c r="H412" s="27">
        <v>0</v>
      </c>
      <c r="I412" s="27">
        <v>0</v>
      </c>
      <c r="J412" s="27">
        <v>0</v>
      </c>
      <c r="K412" s="27">
        <v>0</v>
      </c>
      <c r="L412" s="27">
        <v>0</v>
      </c>
      <c r="M412" s="27">
        <v>0</v>
      </c>
      <c r="N412" s="27">
        <v>0</v>
      </c>
      <c r="O412" s="27">
        <v>0</v>
      </c>
      <c r="P412" s="27">
        <v>0</v>
      </c>
      <c r="Q412" s="27">
        <v>0</v>
      </c>
      <c r="R412" s="27">
        <v>0</v>
      </c>
      <c r="S412" s="27">
        <v>0</v>
      </c>
      <c r="T412" s="27">
        <v>0</v>
      </c>
      <c r="U412" s="27">
        <v>0</v>
      </c>
      <c r="V412" s="27">
        <v>0</v>
      </c>
      <c r="W412" s="27">
        <v>0</v>
      </c>
      <c r="X412" s="27">
        <v>0</v>
      </c>
      <c r="Y412" s="23"/>
      <c r="Z412" s="25"/>
      <c r="AA412" s="25"/>
      <c r="AB412" s="25"/>
      <c r="AC412" s="26"/>
    </row>
    <row r="413" spans="1:29" ht="74.25" customHeight="1" x14ac:dyDescent="0.25">
      <c r="A413" s="21" t="s">
        <v>984</v>
      </c>
      <c r="B413" s="22" t="s">
        <v>985</v>
      </c>
      <c r="C413" s="23" t="s">
        <v>177</v>
      </c>
      <c r="D413" s="23" t="s">
        <v>567</v>
      </c>
      <c r="E413" s="24">
        <f t="shared" ref="E413:X413" si="195">SUM(E414:E414)</f>
        <v>0</v>
      </c>
      <c r="F413" s="24">
        <f t="shared" si="195"/>
        <v>0</v>
      </c>
      <c r="G413" s="24">
        <f t="shared" si="195"/>
        <v>0</v>
      </c>
      <c r="H413" s="24">
        <f t="shared" si="195"/>
        <v>0</v>
      </c>
      <c r="I413" s="24">
        <f t="shared" si="195"/>
        <v>0</v>
      </c>
      <c r="J413" s="24">
        <f t="shared" si="195"/>
        <v>0</v>
      </c>
      <c r="K413" s="24">
        <f t="shared" si="195"/>
        <v>0</v>
      </c>
      <c r="L413" s="24">
        <f t="shared" si="195"/>
        <v>0</v>
      </c>
      <c r="M413" s="24">
        <f t="shared" si="195"/>
        <v>0</v>
      </c>
      <c r="N413" s="24">
        <f t="shared" si="195"/>
        <v>0</v>
      </c>
      <c r="O413" s="24">
        <f t="shared" si="195"/>
        <v>0</v>
      </c>
      <c r="P413" s="24">
        <f t="shared" si="195"/>
        <v>0</v>
      </c>
      <c r="Q413" s="24">
        <f t="shared" si="195"/>
        <v>0</v>
      </c>
      <c r="R413" s="24">
        <f t="shared" si="195"/>
        <v>0</v>
      </c>
      <c r="S413" s="24">
        <f t="shared" si="195"/>
        <v>0</v>
      </c>
      <c r="T413" s="24">
        <f t="shared" si="195"/>
        <v>0</v>
      </c>
      <c r="U413" s="24">
        <f t="shared" si="195"/>
        <v>0</v>
      </c>
      <c r="V413" s="24">
        <f t="shared" si="195"/>
        <v>0</v>
      </c>
      <c r="W413" s="24">
        <f t="shared" si="195"/>
        <v>0</v>
      </c>
      <c r="X413" s="24">
        <f t="shared" si="195"/>
        <v>0</v>
      </c>
      <c r="Y413" s="23" t="s">
        <v>986</v>
      </c>
      <c r="Z413" s="25" t="s">
        <v>216</v>
      </c>
      <c r="AA413" s="25" t="s">
        <v>292</v>
      </c>
      <c r="AB413" s="25" t="s">
        <v>292</v>
      </c>
      <c r="AC413" s="26"/>
    </row>
    <row r="414" spans="1:29" ht="54" customHeight="1" x14ac:dyDescent="0.25">
      <c r="A414" s="21" t="s">
        <v>987</v>
      </c>
      <c r="B414" s="22" t="s">
        <v>988</v>
      </c>
      <c r="C414" s="23"/>
      <c r="D414" s="23" t="s">
        <v>567</v>
      </c>
      <c r="E414" s="27">
        <v>0</v>
      </c>
      <c r="F414" s="27">
        <v>0</v>
      </c>
      <c r="G414" s="27">
        <v>0</v>
      </c>
      <c r="H414" s="27">
        <v>0</v>
      </c>
      <c r="I414" s="27">
        <v>0</v>
      </c>
      <c r="J414" s="27">
        <v>0</v>
      </c>
      <c r="K414" s="27">
        <v>0</v>
      </c>
      <c r="L414" s="27">
        <v>0</v>
      </c>
      <c r="M414" s="27">
        <v>0</v>
      </c>
      <c r="N414" s="27">
        <v>0</v>
      </c>
      <c r="O414" s="27">
        <v>0</v>
      </c>
      <c r="P414" s="27">
        <v>0</v>
      </c>
      <c r="Q414" s="27">
        <v>0</v>
      </c>
      <c r="R414" s="27">
        <v>0</v>
      </c>
      <c r="S414" s="27">
        <v>0</v>
      </c>
      <c r="T414" s="27">
        <v>0</v>
      </c>
      <c r="U414" s="27">
        <v>0</v>
      </c>
      <c r="V414" s="27">
        <v>0</v>
      </c>
      <c r="W414" s="27">
        <v>0</v>
      </c>
      <c r="X414" s="27">
        <v>0</v>
      </c>
      <c r="Y414" s="23"/>
      <c r="Z414" s="25"/>
      <c r="AA414" s="25"/>
      <c r="AB414" s="25"/>
      <c r="AC414" s="26"/>
    </row>
    <row r="415" spans="1:29" ht="55.5" customHeight="1" x14ac:dyDescent="0.25">
      <c r="A415" s="15" t="s">
        <v>989</v>
      </c>
      <c r="B415" s="16" t="s">
        <v>990</v>
      </c>
      <c r="C415" s="17"/>
      <c r="D415" s="17"/>
      <c r="E415" s="18">
        <f t="shared" ref="E415:X415" si="196">SUM(E416:E416)</f>
        <v>10000</v>
      </c>
      <c r="F415" s="18">
        <f t="shared" si="196"/>
        <v>10000</v>
      </c>
      <c r="G415" s="18">
        <f t="shared" si="196"/>
        <v>0</v>
      </c>
      <c r="H415" s="18">
        <f t="shared" si="196"/>
        <v>0</v>
      </c>
      <c r="I415" s="18">
        <f t="shared" si="196"/>
        <v>0</v>
      </c>
      <c r="J415" s="18">
        <f t="shared" si="196"/>
        <v>0</v>
      </c>
      <c r="K415" s="18">
        <f t="shared" si="196"/>
        <v>0</v>
      </c>
      <c r="L415" s="18">
        <f t="shared" si="196"/>
        <v>0</v>
      </c>
      <c r="M415" s="18">
        <f t="shared" si="196"/>
        <v>0</v>
      </c>
      <c r="N415" s="18">
        <f t="shared" si="196"/>
        <v>0</v>
      </c>
      <c r="O415" s="18">
        <f t="shared" si="196"/>
        <v>10000</v>
      </c>
      <c r="P415" s="18">
        <f t="shared" si="196"/>
        <v>10000</v>
      </c>
      <c r="Q415" s="18">
        <f t="shared" si="196"/>
        <v>0</v>
      </c>
      <c r="R415" s="18">
        <f t="shared" si="196"/>
        <v>0</v>
      </c>
      <c r="S415" s="18">
        <f t="shared" si="196"/>
        <v>0</v>
      </c>
      <c r="T415" s="18">
        <f t="shared" si="196"/>
        <v>0</v>
      </c>
      <c r="U415" s="18">
        <f t="shared" si="196"/>
        <v>0</v>
      </c>
      <c r="V415" s="18">
        <f t="shared" si="196"/>
        <v>0</v>
      </c>
      <c r="W415" s="18">
        <f t="shared" si="196"/>
        <v>0</v>
      </c>
      <c r="X415" s="18">
        <f t="shared" si="196"/>
        <v>0</v>
      </c>
      <c r="Y415" s="17"/>
      <c r="Z415" s="19"/>
      <c r="AA415" s="19"/>
      <c r="AB415" s="19"/>
      <c r="AC415" s="20"/>
    </row>
    <row r="416" spans="1:29" ht="59.25" customHeight="1" x14ac:dyDescent="0.25">
      <c r="A416" s="21" t="s">
        <v>991</v>
      </c>
      <c r="B416" s="22" t="s">
        <v>992</v>
      </c>
      <c r="C416" s="23" t="s">
        <v>177</v>
      </c>
      <c r="D416" s="23" t="s">
        <v>261</v>
      </c>
      <c r="E416" s="24">
        <f>SUM(E417:E417)+10000</f>
        <v>10000</v>
      </c>
      <c r="F416" s="24">
        <f>SUM(F417:F417)+10000</f>
        <v>10000</v>
      </c>
      <c r="G416" s="24">
        <f t="shared" ref="G416:N416" si="197">SUM(G417:G417)</f>
        <v>0</v>
      </c>
      <c r="H416" s="24">
        <f t="shared" si="197"/>
        <v>0</v>
      </c>
      <c r="I416" s="24">
        <f t="shared" si="197"/>
        <v>0</v>
      </c>
      <c r="J416" s="24">
        <f t="shared" si="197"/>
        <v>0</v>
      </c>
      <c r="K416" s="24">
        <f t="shared" si="197"/>
        <v>0</v>
      </c>
      <c r="L416" s="24">
        <f t="shared" si="197"/>
        <v>0</v>
      </c>
      <c r="M416" s="24">
        <f t="shared" si="197"/>
        <v>0</v>
      </c>
      <c r="N416" s="24">
        <f t="shared" si="197"/>
        <v>0</v>
      </c>
      <c r="O416" s="24">
        <f>SUM(O417:O417)+10000</f>
        <v>10000</v>
      </c>
      <c r="P416" s="24">
        <f>SUM(P417:P417)+10000</f>
        <v>10000</v>
      </c>
      <c r="Q416" s="24">
        <f t="shared" ref="Q416:X416" si="198">SUM(Q417:Q417)</f>
        <v>0</v>
      </c>
      <c r="R416" s="24">
        <f t="shared" si="198"/>
        <v>0</v>
      </c>
      <c r="S416" s="24">
        <f t="shared" si="198"/>
        <v>0</v>
      </c>
      <c r="T416" s="24">
        <f t="shared" si="198"/>
        <v>0</v>
      </c>
      <c r="U416" s="24">
        <f t="shared" si="198"/>
        <v>0</v>
      </c>
      <c r="V416" s="24">
        <f t="shared" si="198"/>
        <v>0</v>
      </c>
      <c r="W416" s="24">
        <f t="shared" si="198"/>
        <v>0</v>
      </c>
      <c r="X416" s="24">
        <f t="shared" si="198"/>
        <v>0</v>
      </c>
      <c r="Y416" s="23" t="s">
        <v>993</v>
      </c>
      <c r="Z416" s="25" t="s">
        <v>34</v>
      </c>
      <c r="AA416" s="25" t="s">
        <v>42</v>
      </c>
      <c r="AB416" s="25" t="s">
        <v>42</v>
      </c>
      <c r="AC416" s="26"/>
    </row>
    <row r="417" spans="1:29" ht="72" customHeight="1" x14ac:dyDescent="0.25">
      <c r="A417" s="21" t="s">
        <v>994</v>
      </c>
      <c r="B417" s="22" t="s">
        <v>995</v>
      </c>
      <c r="C417" s="23"/>
      <c r="D417" s="23" t="s">
        <v>261</v>
      </c>
      <c r="E417" s="27">
        <v>0</v>
      </c>
      <c r="F417" s="27">
        <v>0</v>
      </c>
      <c r="G417" s="27">
        <v>0</v>
      </c>
      <c r="H417" s="27">
        <v>0</v>
      </c>
      <c r="I417" s="27">
        <v>0</v>
      </c>
      <c r="J417" s="27">
        <v>0</v>
      </c>
      <c r="K417" s="27">
        <v>0</v>
      </c>
      <c r="L417" s="27">
        <v>0</v>
      </c>
      <c r="M417" s="27">
        <v>0</v>
      </c>
      <c r="N417" s="27">
        <v>0</v>
      </c>
      <c r="O417" s="27">
        <v>0</v>
      </c>
      <c r="P417" s="27">
        <v>0</v>
      </c>
      <c r="Q417" s="27">
        <v>0</v>
      </c>
      <c r="R417" s="27">
        <v>0</v>
      </c>
      <c r="S417" s="27">
        <v>0</v>
      </c>
      <c r="T417" s="27">
        <v>0</v>
      </c>
      <c r="U417" s="27">
        <v>0</v>
      </c>
      <c r="V417" s="27">
        <v>0</v>
      </c>
      <c r="W417" s="27">
        <v>0</v>
      </c>
      <c r="X417" s="27">
        <v>0</v>
      </c>
      <c r="Y417" s="23"/>
      <c r="Z417" s="25"/>
      <c r="AA417" s="25"/>
      <c r="AB417" s="25"/>
      <c r="AC417" s="26"/>
    </row>
    <row r="418" spans="1:29" ht="54" customHeight="1" x14ac:dyDescent="0.25">
      <c r="A418" s="9" t="s">
        <v>996</v>
      </c>
      <c r="B418" s="10" t="s">
        <v>997</v>
      </c>
      <c r="C418" s="11"/>
      <c r="D418" s="11"/>
      <c r="E418" s="12">
        <f t="shared" ref="E418:X418" si="199">E419+E424</f>
        <v>82612</v>
      </c>
      <c r="F418" s="12">
        <f t="shared" si="199"/>
        <v>82612</v>
      </c>
      <c r="G418" s="12">
        <f t="shared" si="199"/>
        <v>0</v>
      </c>
      <c r="H418" s="12">
        <f t="shared" si="199"/>
        <v>0</v>
      </c>
      <c r="I418" s="12">
        <f t="shared" si="199"/>
        <v>0</v>
      </c>
      <c r="J418" s="12">
        <f t="shared" si="199"/>
        <v>0</v>
      </c>
      <c r="K418" s="12">
        <f t="shared" si="199"/>
        <v>0</v>
      </c>
      <c r="L418" s="12">
        <f t="shared" si="199"/>
        <v>0</v>
      </c>
      <c r="M418" s="12">
        <f t="shared" si="199"/>
        <v>0</v>
      </c>
      <c r="N418" s="12">
        <f t="shared" si="199"/>
        <v>0</v>
      </c>
      <c r="O418" s="12">
        <f t="shared" si="199"/>
        <v>82611.41</v>
      </c>
      <c r="P418" s="12">
        <f t="shared" si="199"/>
        <v>82611.41</v>
      </c>
      <c r="Q418" s="12">
        <f t="shared" si="199"/>
        <v>0</v>
      </c>
      <c r="R418" s="12">
        <f t="shared" si="199"/>
        <v>0</v>
      </c>
      <c r="S418" s="12">
        <f t="shared" si="199"/>
        <v>0</v>
      </c>
      <c r="T418" s="12">
        <f t="shared" si="199"/>
        <v>0</v>
      </c>
      <c r="U418" s="12">
        <f t="shared" si="199"/>
        <v>0</v>
      </c>
      <c r="V418" s="12">
        <f t="shared" si="199"/>
        <v>0</v>
      </c>
      <c r="W418" s="12">
        <f t="shared" si="199"/>
        <v>0</v>
      </c>
      <c r="X418" s="12">
        <f t="shared" si="199"/>
        <v>0</v>
      </c>
      <c r="Y418" s="11"/>
      <c r="Z418" s="13"/>
      <c r="AA418" s="13"/>
      <c r="AB418" s="13"/>
      <c r="AC418" s="14"/>
    </row>
    <row r="419" spans="1:29" ht="78" customHeight="1" x14ac:dyDescent="0.25">
      <c r="A419" s="15" t="s">
        <v>998</v>
      </c>
      <c r="B419" s="16" t="s">
        <v>999</v>
      </c>
      <c r="C419" s="17"/>
      <c r="D419" s="17"/>
      <c r="E419" s="18">
        <f t="shared" ref="E419:X419" si="200">E420+E422</f>
        <v>49423</v>
      </c>
      <c r="F419" s="18">
        <f t="shared" si="200"/>
        <v>49423</v>
      </c>
      <c r="G419" s="18">
        <f t="shared" si="200"/>
        <v>0</v>
      </c>
      <c r="H419" s="18">
        <f t="shared" si="200"/>
        <v>0</v>
      </c>
      <c r="I419" s="18">
        <f t="shared" si="200"/>
        <v>0</v>
      </c>
      <c r="J419" s="18">
        <f t="shared" si="200"/>
        <v>0</v>
      </c>
      <c r="K419" s="18">
        <f t="shared" si="200"/>
        <v>0</v>
      </c>
      <c r="L419" s="18">
        <f t="shared" si="200"/>
        <v>0</v>
      </c>
      <c r="M419" s="18">
        <f t="shared" si="200"/>
        <v>0</v>
      </c>
      <c r="N419" s="18">
        <f t="shared" si="200"/>
        <v>0</v>
      </c>
      <c r="O419" s="18">
        <f t="shared" si="200"/>
        <v>49422</v>
      </c>
      <c r="P419" s="18">
        <f t="shared" si="200"/>
        <v>49422</v>
      </c>
      <c r="Q419" s="18">
        <f t="shared" si="200"/>
        <v>0</v>
      </c>
      <c r="R419" s="18">
        <f t="shared" si="200"/>
        <v>0</v>
      </c>
      <c r="S419" s="18">
        <f t="shared" si="200"/>
        <v>0</v>
      </c>
      <c r="T419" s="18">
        <f t="shared" si="200"/>
        <v>0</v>
      </c>
      <c r="U419" s="18">
        <f t="shared" si="200"/>
        <v>0</v>
      </c>
      <c r="V419" s="18">
        <f t="shared" si="200"/>
        <v>0</v>
      </c>
      <c r="W419" s="18">
        <f t="shared" si="200"/>
        <v>0</v>
      </c>
      <c r="X419" s="18">
        <f t="shared" si="200"/>
        <v>0</v>
      </c>
      <c r="Y419" s="17"/>
      <c r="Z419" s="19"/>
      <c r="AA419" s="19"/>
      <c r="AB419" s="19"/>
      <c r="AC419" s="20"/>
    </row>
    <row r="420" spans="1:29" ht="56.25" customHeight="1" x14ac:dyDescent="0.25">
      <c r="A420" s="21" t="s">
        <v>1000</v>
      </c>
      <c r="B420" s="22" t="s">
        <v>1001</v>
      </c>
      <c r="C420" s="23" t="s">
        <v>177</v>
      </c>
      <c r="D420" s="23" t="s">
        <v>261</v>
      </c>
      <c r="E420" s="24">
        <f>SUM(E421:E421)+29000</f>
        <v>29000</v>
      </c>
      <c r="F420" s="24">
        <f>SUM(F421:F421)+29000</f>
        <v>29000</v>
      </c>
      <c r="G420" s="24">
        <f t="shared" ref="G420:N420" si="201">SUM(G421:G421)</f>
        <v>0</v>
      </c>
      <c r="H420" s="24">
        <f t="shared" si="201"/>
        <v>0</v>
      </c>
      <c r="I420" s="24">
        <f t="shared" si="201"/>
        <v>0</v>
      </c>
      <c r="J420" s="24">
        <f t="shared" si="201"/>
        <v>0</v>
      </c>
      <c r="K420" s="24">
        <f t="shared" si="201"/>
        <v>0</v>
      </c>
      <c r="L420" s="24">
        <f t="shared" si="201"/>
        <v>0</v>
      </c>
      <c r="M420" s="24">
        <f t="shared" si="201"/>
        <v>0</v>
      </c>
      <c r="N420" s="24">
        <f t="shared" si="201"/>
        <v>0</v>
      </c>
      <c r="O420" s="24">
        <f>SUM(O421:O421)+29000</f>
        <v>29000</v>
      </c>
      <c r="P420" s="24">
        <f>SUM(P421:P421)+29000</f>
        <v>29000</v>
      </c>
      <c r="Q420" s="24">
        <f t="shared" ref="Q420:X420" si="202">SUM(Q421:Q421)</f>
        <v>0</v>
      </c>
      <c r="R420" s="24">
        <f t="shared" si="202"/>
        <v>0</v>
      </c>
      <c r="S420" s="24">
        <f t="shared" si="202"/>
        <v>0</v>
      </c>
      <c r="T420" s="24">
        <f t="shared" si="202"/>
        <v>0</v>
      </c>
      <c r="U420" s="24">
        <f t="shared" si="202"/>
        <v>0</v>
      </c>
      <c r="V420" s="24">
        <f t="shared" si="202"/>
        <v>0</v>
      </c>
      <c r="W420" s="24">
        <f t="shared" si="202"/>
        <v>0</v>
      </c>
      <c r="X420" s="24">
        <f t="shared" si="202"/>
        <v>0</v>
      </c>
      <c r="Y420" s="23" t="s">
        <v>1002</v>
      </c>
      <c r="Z420" s="25" t="s">
        <v>34</v>
      </c>
      <c r="AA420" s="25" t="s">
        <v>42</v>
      </c>
      <c r="AB420" s="25" t="s">
        <v>42</v>
      </c>
      <c r="AC420" s="26"/>
    </row>
    <row r="421" spans="1:29" ht="54" customHeight="1" x14ac:dyDescent="0.25">
      <c r="A421" s="21" t="s">
        <v>1003</v>
      </c>
      <c r="B421" s="22" t="s">
        <v>1004</v>
      </c>
      <c r="C421" s="23"/>
      <c r="D421" s="23" t="s">
        <v>261</v>
      </c>
      <c r="E421" s="27">
        <v>0</v>
      </c>
      <c r="F421" s="27">
        <v>0</v>
      </c>
      <c r="G421" s="27">
        <v>0</v>
      </c>
      <c r="H421" s="27">
        <v>0</v>
      </c>
      <c r="I421" s="27">
        <v>0</v>
      </c>
      <c r="J421" s="27">
        <v>0</v>
      </c>
      <c r="K421" s="27">
        <v>0</v>
      </c>
      <c r="L421" s="27">
        <v>0</v>
      </c>
      <c r="M421" s="27">
        <v>0</v>
      </c>
      <c r="N421" s="27">
        <v>0</v>
      </c>
      <c r="O421" s="27">
        <v>0</v>
      </c>
      <c r="P421" s="27">
        <v>0</v>
      </c>
      <c r="Q421" s="27">
        <v>0</v>
      </c>
      <c r="R421" s="27">
        <v>0</v>
      </c>
      <c r="S421" s="27">
        <v>0</v>
      </c>
      <c r="T421" s="27">
        <v>0</v>
      </c>
      <c r="U421" s="27">
        <v>0</v>
      </c>
      <c r="V421" s="27">
        <v>0</v>
      </c>
      <c r="W421" s="27">
        <v>0</v>
      </c>
      <c r="X421" s="27">
        <v>0</v>
      </c>
      <c r="Y421" s="23"/>
      <c r="Z421" s="25"/>
      <c r="AA421" s="25"/>
      <c r="AB421" s="25"/>
      <c r="AC421" s="26"/>
    </row>
    <row r="422" spans="1:29" ht="70.5" customHeight="1" x14ac:dyDescent="0.25">
      <c r="A422" s="21" t="s">
        <v>1005</v>
      </c>
      <c r="B422" s="22" t="s">
        <v>1006</v>
      </c>
      <c r="C422" s="23" t="s">
        <v>177</v>
      </c>
      <c r="D422" s="23" t="s">
        <v>261</v>
      </c>
      <c r="E422" s="24">
        <f>SUM(E423:E423)+20423</f>
        <v>20423</v>
      </c>
      <c r="F422" s="24">
        <f>SUM(F423:F423)+20423</f>
        <v>20423</v>
      </c>
      <c r="G422" s="24">
        <f t="shared" ref="G422:N422" si="203">SUM(G423:G423)</f>
        <v>0</v>
      </c>
      <c r="H422" s="24">
        <f t="shared" si="203"/>
        <v>0</v>
      </c>
      <c r="I422" s="24">
        <f t="shared" si="203"/>
        <v>0</v>
      </c>
      <c r="J422" s="24">
        <f t="shared" si="203"/>
        <v>0</v>
      </c>
      <c r="K422" s="24">
        <f t="shared" si="203"/>
        <v>0</v>
      </c>
      <c r="L422" s="24">
        <f t="shared" si="203"/>
        <v>0</v>
      </c>
      <c r="M422" s="24">
        <f t="shared" si="203"/>
        <v>0</v>
      </c>
      <c r="N422" s="24">
        <f t="shared" si="203"/>
        <v>0</v>
      </c>
      <c r="O422" s="24">
        <f>SUM(O423:O423)+20422</f>
        <v>20422</v>
      </c>
      <c r="P422" s="24">
        <f>SUM(P423:P423)+20422</f>
        <v>20422</v>
      </c>
      <c r="Q422" s="24">
        <f t="shared" ref="Q422:X422" si="204">SUM(Q423:Q423)</f>
        <v>0</v>
      </c>
      <c r="R422" s="24">
        <f t="shared" si="204"/>
        <v>0</v>
      </c>
      <c r="S422" s="24">
        <f t="shared" si="204"/>
        <v>0</v>
      </c>
      <c r="T422" s="24">
        <f t="shared" si="204"/>
        <v>0</v>
      </c>
      <c r="U422" s="24">
        <f t="shared" si="204"/>
        <v>0</v>
      </c>
      <c r="V422" s="24">
        <f t="shared" si="204"/>
        <v>0</v>
      </c>
      <c r="W422" s="24">
        <f t="shared" si="204"/>
        <v>0</v>
      </c>
      <c r="X422" s="24">
        <f t="shared" si="204"/>
        <v>0</v>
      </c>
      <c r="Y422" s="23" t="s">
        <v>1007</v>
      </c>
      <c r="Z422" s="25" t="s">
        <v>34</v>
      </c>
      <c r="AA422" s="25" t="s">
        <v>42</v>
      </c>
      <c r="AB422" s="25" t="s">
        <v>42</v>
      </c>
      <c r="AC422" s="26"/>
    </row>
    <row r="423" spans="1:29" ht="50.25" customHeight="1" x14ac:dyDescent="0.25">
      <c r="A423" s="21" t="s">
        <v>1008</v>
      </c>
      <c r="B423" s="22" t="s">
        <v>1009</v>
      </c>
      <c r="C423" s="23"/>
      <c r="D423" s="23" t="s">
        <v>261</v>
      </c>
      <c r="E423" s="27">
        <v>0</v>
      </c>
      <c r="F423" s="27">
        <v>0</v>
      </c>
      <c r="G423" s="27">
        <v>0</v>
      </c>
      <c r="H423" s="27">
        <v>0</v>
      </c>
      <c r="I423" s="27">
        <v>0</v>
      </c>
      <c r="J423" s="27">
        <v>0</v>
      </c>
      <c r="K423" s="27">
        <v>0</v>
      </c>
      <c r="L423" s="27">
        <v>0</v>
      </c>
      <c r="M423" s="27">
        <v>0</v>
      </c>
      <c r="N423" s="27">
        <v>0</v>
      </c>
      <c r="O423" s="27">
        <v>0</v>
      </c>
      <c r="P423" s="27">
        <v>0</v>
      </c>
      <c r="Q423" s="27">
        <v>0</v>
      </c>
      <c r="R423" s="27">
        <v>0</v>
      </c>
      <c r="S423" s="27">
        <v>0</v>
      </c>
      <c r="T423" s="27">
        <v>0</v>
      </c>
      <c r="U423" s="27">
        <v>0</v>
      </c>
      <c r="V423" s="27">
        <v>0</v>
      </c>
      <c r="W423" s="27">
        <v>0</v>
      </c>
      <c r="X423" s="27">
        <v>0</v>
      </c>
      <c r="Y423" s="23"/>
      <c r="Z423" s="25"/>
      <c r="AA423" s="25"/>
      <c r="AB423" s="25"/>
      <c r="AC423" s="26"/>
    </row>
    <row r="424" spans="1:29" ht="54" customHeight="1" x14ac:dyDescent="0.25">
      <c r="A424" s="15" t="s">
        <v>1010</v>
      </c>
      <c r="B424" s="16" t="s">
        <v>1011</v>
      </c>
      <c r="C424" s="17"/>
      <c r="D424" s="17" t="s">
        <v>261</v>
      </c>
      <c r="E424" s="18">
        <f t="shared" ref="E424:X424" si="205">E425+E427</f>
        <v>33189</v>
      </c>
      <c r="F424" s="18">
        <f t="shared" si="205"/>
        <v>33189</v>
      </c>
      <c r="G424" s="18">
        <f t="shared" si="205"/>
        <v>0</v>
      </c>
      <c r="H424" s="18">
        <f t="shared" si="205"/>
        <v>0</v>
      </c>
      <c r="I424" s="18">
        <f t="shared" si="205"/>
        <v>0</v>
      </c>
      <c r="J424" s="18">
        <f t="shared" si="205"/>
        <v>0</v>
      </c>
      <c r="K424" s="18">
        <f t="shared" si="205"/>
        <v>0</v>
      </c>
      <c r="L424" s="18">
        <f t="shared" si="205"/>
        <v>0</v>
      </c>
      <c r="M424" s="18">
        <f t="shared" si="205"/>
        <v>0</v>
      </c>
      <c r="N424" s="18">
        <f t="shared" si="205"/>
        <v>0</v>
      </c>
      <c r="O424" s="18">
        <f t="shared" si="205"/>
        <v>33189.410000000003</v>
      </c>
      <c r="P424" s="18">
        <f t="shared" si="205"/>
        <v>33189.410000000003</v>
      </c>
      <c r="Q424" s="18">
        <f t="shared" si="205"/>
        <v>0</v>
      </c>
      <c r="R424" s="18">
        <f t="shared" si="205"/>
        <v>0</v>
      </c>
      <c r="S424" s="18">
        <f t="shared" si="205"/>
        <v>0</v>
      </c>
      <c r="T424" s="18">
        <f t="shared" si="205"/>
        <v>0</v>
      </c>
      <c r="U424" s="18">
        <f t="shared" si="205"/>
        <v>0</v>
      </c>
      <c r="V424" s="18">
        <f t="shared" si="205"/>
        <v>0</v>
      </c>
      <c r="W424" s="18">
        <f t="shared" si="205"/>
        <v>0</v>
      </c>
      <c r="X424" s="18">
        <f t="shared" si="205"/>
        <v>0</v>
      </c>
      <c r="Y424" s="17"/>
      <c r="Z424" s="19"/>
      <c r="AA424" s="19"/>
      <c r="AB424" s="19"/>
      <c r="AC424" s="20"/>
    </row>
    <row r="425" spans="1:29" ht="79.5" customHeight="1" x14ac:dyDescent="0.25">
      <c r="A425" s="21" t="s">
        <v>1012</v>
      </c>
      <c r="B425" s="22" t="s">
        <v>1013</v>
      </c>
      <c r="C425" s="23" t="s">
        <v>177</v>
      </c>
      <c r="D425" s="23" t="s">
        <v>261</v>
      </c>
      <c r="E425" s="24">
        <f>SUM(E426:E426)+20000</f>
        <v>20000</v>
      </c>
      <c r="F425" s="24">
        <f>SUM(F426:F426)+20000</f>
        <v>20000</v>
      </c>
      <c r="G425" s="24">
        <f t="shared" ref="G425:N425" si="206">SUM(G426:G426)</f>
        <v>0</v>
      </c>
      <c r="H425" s="24">
        <f t="shared" si="206"/>
        <v>0</v>
      </c>
      <c r="I425" s="24">
        <f t="shared" si="206"/>
        <v>0</v>
      </c>
      <c r="J425" s="24">
        <f t="shared" si="206"/>
        <v>0</v>
      </c>
      <c r="K425" s="24">
        <f t="shared" si="206"/>
        <v>0</v>
      </c>
      <c r="L425" s="24">
        <f t="shared" si="206"/>
        <v>0</v>
      </c>
      <c r="M425" s="24">
        <f t="shared" si="206"/>
        <v>0</v>
      </c>
      <c r="N425" s="24">
        <f t="shared" si="206"/>
        <v>0</v>
      </c>
      <c r="O425" s="24">
        <f>SUM(O426:O426)+19999.9</f>
        <v>19999.900000000001</v>
      </c>
      <c r="P425" s="24">
        <f>SUM(P426:P426)+19999.9</f>
        <v>19999.900000000001</v>
      </c>
      <c r="Q425" s="24">
        <f t="shared" ref="Q425:X425" si="207">SUM(Q426:Q426)</f>
        <v>0</v>
      </c>
      <c r="R425" s="24">
        <f t="shared" si="207"/>
        <v>0</v>
      </c>
      <c r="S425" s="24">
        <f t="shared" si="207"/>
        <v>0</v>
      </c>
      <c r="T425" s="24">
        <f t="shared" si="207"/>
        <v>0</v>
      </c>
      <c r="U425" s="24">
        <f t="shared" si="207"/>
        <v>0</v>
      </c>
      <c r="V425" s="24">
        <f t="shared" si="207"/>
        <v>0</v>
      </c>
      <c r="W425" s="24">
        <f t="shared" si="207"/>
        <v>0</v>
      </c>
      <c r="X425" s="24">
        <f t="shared" si="207"/>
        <v>0</v>
      </c>
      <c r="Y425" s="23" t="s">
        <v>1014</v>
      </c>
      <c r="Z425" s="25" t="s">
        <v>34</v>
      </c>
      <c r="AA425" s="25" t="s">
        <v>905</v>
      </c>
      <c r="AB425" s="25" t="s">
        <v>905</v>
      </c>
      <c r="AC425" s="26"/>
    </row>
    <row r="426" spans="1:29" ht="51.75" customHeight="1" x14ac:dyDescent="0.25">
      <c r="A426" s="21" t="s">
        <v>1015</v>
      </c>
      <c r="B426" s="22" t="s">
        <v>1016</v>
      </c>
      <c r="C426" s="23"/>
      <c r="D426" s="23" t="s">
        <v>261</v>
      </c>
      <c r="E426" s="27">
        <v>0</v>
      </c>
      <c r="F426" s="27">
        <v>0</v>
      </c>
      <c r="G426" s="27">
        <v>0</v>
      </c>
      <c r="H426" s="27">
        <v>0</v>
      </c>
      <c r="I426" s="27">
        <v>0</v>
      </c>
      <c r="J426" s="27">
        <v>0</v>
      </c>
      <c r="K426" s="27">
        <v>0</v>
      </c>
      <c r="L426" s="27">
        <v>0</v>
      </c>
      <c r="M426" s="27">
        <v>0</v>
      </c>
      <c r="N426" s="27">
        <v>0</v>
      </c>
      <c r="O426" s="27">
        <v>0</v>
      </c>
      <c r="P426" s="27">
        <v>0</v>
      </c>
      <c r="Q426" s="27">
        <v>0</v>
      </c>
      <c r="R426" s="27">
        <v>0</v>
      </c>
      <c r="S426" s="27">
        <v>0</v>
      </c>
      <c r="T426" s="27">
        <v>0</v>
      </c>
      <c r="U426" s="27">
        <v>0</v>
      </c>
      <c r="V426" s="27">
        <v>0</v>
      </c>
      <c r="W426" s="27">
        <v>0</v>
      </c>
      <c r="X426" s="27">
        <v>0</v>
      </c>
      <c r="Y426" s="23"/>
      <c r="Z426" s="25"/>
      <c r="AA426" s="25"/>
      <c r="AB426" s="25"/>
      <c r="AC426" s="26"/>
    </row>
    <row r="427" spans="1:29" ht="68.25" customHeight="1" x14ac:dyDescent="0.25">
      <c r="A427" s="21" t="s">
        <v>1017</v>
      </c>
      <c r="B427" s="22" t="s">
        <v>1018</v>
      </c>
      <c r="C427" s="23" t="s">
        <v>177</v>
      </c>
      <c r="D427" s="23" t="s">
        <v>448</v>
      </c>
      <c r="E427" s="24">
        <f>SUM(E428:E428)+13189</f>
        <v>13189</v>
      </c>
      <c r="F427" s="24">
        <f>SUM(F428:F428)+13189</f>
        <v>13189</v>
      </c>
      <c r="G427" s="24">
        <f t="shared" ref="G427:N427" si="208">SUM(G428:G428)</f>
        <v>0</v>
      </c>
      <c r="H427" s="24">
        <f t="shared" si="208"/>
        <v>0</v>
      </c>
      <c r="I427" s="24">
        <f t="shared" si="208"/>
        <v>0</v>
      </c>
      <c r="J427" s="24">
        <f t="shared" si="208"/>
        <v>0</v>
      </c>
      <c r="K427" s="24">
        <f t="shared" si="208"/>
        <v>0</v>
      </c>
      <c r="L427" s="24">
        <f t="shared" si="208"/>
        <v>0</v>
      </c>
      <c r="M427" s="24">
        <f t="shared" si="208"/>
        <v>0</v>
      </c>
      <c r="N427" s="24">
        <f t="shared" si="208"/>
        <v>0</v>
      </c>
      <c r="O427" s="24">
        <f>SUM(O428:O428)+13189.51</f>
        <v>13189.51</v>
      </c>
      <c r="P427" s="24">
        <f>SUM(P428:P428)+13189.51</f>
        <v>13189.51</v>
      </c>
      <c r="Q427" s="24">
        <f t="shared" ref="Q427:X427" si="209">SUM(Q428:Q428)</f>
        <v>0</v>
      </c>
      <c r="R427" s="24">
        <f t="shared" si="209"/>
        <v>0</v>
      </c>
      <c r="S427" s="24">
        <f t="shared" si="209"/>
        <v>0</v>
      </c>
      <c r="T427" s="24">
        <f t="shared" si="209"/>
        <v>0</v>
      </c>
      <c r="U427" s="24">
        <f t="shared" si="209"/>
        <v>0</v>
      </c>
      <c r="V427" s="24">
        <f t="shared" si="209"/>
        <v>0</v>
      </c>
      <c r="W427" s="24">
        <f t="shared" si="209"/>
        <v>0</v>
      </c>
      <c r="X427" s="24">
        <f t="shared" si="209"/>
        <v>0</v>
      </c>
      <c r="Y427" s="23" t="s">
        <v>1019</v>
      </c>
      <c r="Z427" s="25" t="s">
        <v>304</v>
      </c>
      <c r="AA427" s="25" t="s">
        <v>1020</v>
      </c>
      <c r="AB427" s="25" t="s">
        <v>1020</v>
      </c>
      <c r="AC427" s="26"/>
    </row>
    <row r="428" spans="1:29" ht="48" customHeight="1" x14ac:dyDescent="0.25">
      <c r="A428" s="21" t="s">
        <v>1021</v>
      </c>
      <c r="B428" s="22" t="s">
        <v>1022</v>
      </c>
      <c r="C428" s="23"/>
      <c r="D428" s="23" t="s">
        <v>448</v>
      </c>
      <c r="E428" s="27">
        <v>0</v>
      </c>
      <c r="F428" s="27">
        <v>0</v>
      </c>
      <c r="G428" s="27">
        <v>0</v>
      </c>
      <c r="H428" s="27">
        <v>0</v>
      </c>
      <c r="I428" s="27">
        <v>0</v>
      </c>
      <c r="J428" s="27">
        <v>0</v>
      </c>
      <c r="K428" s="27">
        <v>0</v>
      </c>
      <c r="L428" s="27">
        <v>0</v>
      </c>
      <c r="M428" s="27">
        <v>0</v>
      </c>
      <c r="N428" s="27">
        <v>0</v>
      </c>
      <c r="O428" s="27">
        <v>0</v>
      </c>
      <c r="P428" s="27">
        <v>0</v>
      </c>
      <c r="Q428" s="27">
        <v>0</v>
      </c>
      <c r="R428" s="27">
        <v>0</v>
      </c>
      <c r="S428" s="27">
        <v>0</v>
      </c>
      <c r="T428" s="27">
        <v>0</v>
      </c>
      <c r="U428" s="27">
        <v>0</v>
      </c>
      <c r="V428" s="27">
        <v>0</v>
      </c>
      <c r="W428" s="27">
        <v>0</v>
      </c>
      <c r="X428" s="27">
        <v>0</v>
      </c>
      <c r="Y428" s="23"/>
      <c r="Z428" s="25"/>
      <c r="AA428" s="25"/>
      <c r="AB428" s="25"/>
      <c r="AC428" s="26"/>
    </row>
    <row r="429" spans="1:29" ht="51.75" customHeight="1" x14ac:dyDescent="0.25">
      <c r="A429" s="9" t="s">
        <v>1023</v>
      </c>
      <c r="B429" s="10" t="s">
        <v>1024</v>
      </c>
      <c r="C429" s="11"/>
      <c r="D429" s="11"/>
      <c r="E429" s="12">
        <f t="shared" ref="E429:X429" si="210">E430+E439+E442+E445</f>
        <v>2039098</v>
      </c>
      <c r="F429" s="12">
        <f t="shared" si="210"/>
        <v>2039098</v>
      </c>
      <c r="G429" s="12">
        <f t="shared" si="210"/>
        <v>0</v>
      </c>
      <c r="H429" s="12">
        <f t="shared" si="210"/>
        <v>0</v>
      </c>
      <c r="I429" s="12">
        <f t="shared" si="210"/>
        <v>0</v>
      </c>
      <c r="J429" s="12">
        <f t="shared" si="210"/>
        <v>0</v>
      </c>
      <c r="K429" s="12">
        <f t="shared" si="210"/>
        <v>0</v>
      </c>
      <c r="L429" s="12">
        <f t="shared" si="210"/>
        <v>0</v>
      </c>
      <c r="M429" s="12">
        <f t="shared" si="210"/>
        <v>0</v>
      </c>
      <c r="N429" s="12">
        <f t="shared" si="210"/>
        <v>0</v>
      </c>
      <c r="O429" s="12">
        <f t="shared" si="210"/>
        <v>2000474.45</v>
      </c>
      <c r="P429" s="12">
        <f t="shared" si="210"/>
        <v>499399.19999999995</v>
      </c>
      <c r="Q429" s="12">
        <f t="shared" si="210"/>
        <v>0</v>
      </c>
      <c r="R429" s="12">
        <f t="shared" si="210"/>
        <v>0</v>
      </c>
      <c r="S429" s="12">
        <f t="shared" si="210"/>
        <v>0</v>
      </c>
      <c r="T429" s="12">
        <f t="shared" si="210"/>
        <v>0</v>
      </c>
      <c r="U429" s="12">
        <f t="shared" si="210"/>
        <v>0</v>
      </c>
      <c r="V429" s="12">
        <f t="shared" si="210"/>
        <v>1501075.25</v>
      </c>
      <c r="W429" s="12">
        <f t="shared" si="210"/>
        <v>0</v>
      </c>
      <c r="X429" s="12">
        <f t="shared" si="210"/>
        <v>0</v>
      </c>
      <c r="Y429" s="11"/>
      <c r="Z429" s="13"/>
      <c r="AA429" s="13"/>
      <c r="AB429" s="13"/>
      <c r="AC429" s="14"/>
    </row>
    <row r="430" spans="1:29" ht="78" customHeight="1" x14ac:dyDescent="0.25">
      <c r="A430" s="15" t="s">
        <v>1025</v>
      </c>
      <c r="B430" s="16" t="s">
        <v>1026</v>
      </c>
      <c r="C430" s="17"/>
      <c r="D430" s="17"/>
      <c r="E430" s="18">
        <f t="shared" ref="E430:X430" si="211">E431+E433+E435+E437</f>
        <v>1868849</v>
      </c>
      <c r="F430" s="18">
        <f t="shared" si="211"/>
        <v>1868849</v>
      </c>
      <c r="G430" s="18">
        <f t="shared" si="211"/>
        <v>0</v>
      </c>
      <c r="H430" s="18">
        <f t="shared" si="211"/>
        <v>0</v>
      </c>
      <c r="I430" s="18">
        <f t="shared" si="211"/>
        <v>0</v>
      </c>
      <c r="J430" s="18">
        <f t="shared" si="211"/>
        <v>0</v>
      </c>
      <c r="K430" s="18">
        <f t="shared" si="211"/>
        <v>0</v>
      </c>
      <c r="L430" s="18">
        <f t="shared" si="211"/>
        <v>0</v>
      </c>
      <c r="M430" s="18">
        <f t="shared" si="211"/>
        <v>0</v>
      </c>
      <c r="N430" s="18">
        <f t="shared" si="211"/>
        <v>0</v>
      </c>
      <c r="O430" s="18">
        <f t="shared" si="211"/>
        <v>1843360.27</v>
      </c>
      <c r="P430" s="18">
        <f t="shared" si="211"/>
        <v>342285.01999999996</v>
      </c>
      <c r="Q430" s="18">
        <f t="shared" si="211"/>
        <v>0</v>
      </c>
      <c r="R430" s="18">
        <f t="shared" si="211"/>
        <v>0</v>
      </c>
      <c r="S430" s="18">
        <f t="shared" si="211"/>
        <v>0</v>
      </c>
      <c r="T430" s="18">
        <f t="shared" si="211"/>
        <v>0</v>
      </c>
      <c r="U430" s="18">
        <f t="shared" si="211"/>
        <v>0</v>
      </c>
      <c r="V430" s="18">
        <f t="shared" si="211"/>
        <v>1501075.25</v>
      </c>
      <c r="W430" s="18">
        <f t="shared" si="211"/>
        <v>0</v>
      </c>
      <c r="X430" s="18">
        <f t="shared" si="211"/>
        <v>0</v>
      </c>
      <c r="Y430" s="17"/>
      <c r="Z430" s="19"/>
      <c r="AA430" s="19"/>
      <c r="AB430" s="19"/>
      <c r="AC430" s="20"/>
    </row>
    <row r="431" spans="1:29" ht="94.5" customHeight="1" x14ac:dyDescent="0.25">
      <c r="A431" s="21" t="s">
        <v>1027</v>
      </c>
      <c r="B431" s="22" t="s">
        <v>1028</v>
      </c>
      <c r="C431" s="23" t="s">
        <v>177</v>
      </c>
      <c r="D431" s="23" t="s">
        <v>235</v>
      </c>
      <c r="E431" s="24">
        <f>SUM(E432:E432)+1525260</f>
        <v>1525260</v>
      </c>
      <c r="F431" s="24">
        <f>SUM(F432:F432)+1525260</f>
        <v>1525260</v>
      </c>
      <c r="G431" s="24">
        <f t="shared" ref="G431:N431" si="212">SUM(G432:G432)</f>
        <v>0</v>
      </c>
      <c r="H431" s="24">
        <f t="shared" si="212"/>
        <v>0</v>
      </c>
      <c r="I431" s="24">
        <f t="shared" si="212"/>
        <v>0</v>
      </c>
      <c r="J431" s="24">
        <f t="shared" si="212"/>
        <v>0</v>
      </c>
      <c r="K431" s="24">
        <f t="shared" si="212"/>
        <v>0</v>
      </c>
      <c r="L431" s="24">
        <f t="shared" si="212"/>
        <v>0</v>
      </c>
      <c r="M431" s="24">
        <f t="shared" si="212"/>
        <v>0</v>
      </c>
      <c r="N431" s="24">
        <f t="shared" si="212"/>
        <v>0</v>
      </c>
      <c r="O431" s="24">
        <f>SUM(O432:O432)+1501075.25</f>
        <v>1501075.25</v>
      </c>
      <c r="P431" s="24">
        <f t="shared" ref="P431:U431" si="213">SUM(P432:P432)</f>
        <v>0</v>
      </c>
      <c r="Q431" s="24">
        <f t="shared" si="213"/>
        <v>0</v>
      </c>
      <c r="R431" s="24">
        <f t="shared" si="213"/>
        <v>0</v>
      </c>
      <c r="S431" s="24">
        <f t="shared" si="213"/>
        <v>0</v>
      </c>
      <c r="T431" s="24">
        <f t="shared" si="213"/>
        <v>0</v>
      </c>
      <c r="U431" s="24">
        <f t="shared" si="213"/>
        <v>0</v>
      </c>
      <c r="V431" s="24">
        <f>SUM(V432:V432)+1501075.25</f>
        <v>1501075.25</v>
      </c>
      <c r="W431" s="24">
        <f>SUM(W432:W432)</f>
        <v>0</v>
      </c>
      <c r="X431" s="24">
        <f>SUM(X432:X432)</f>
        <v>0</v>
      </c>
      <c r="Y431" s="23" t="s">
        <v>1029</v>
      </c>
      <c r="Z431" s="25" t="s">
        <v>304</v>
      </c>
      <c r="AA431" s="25" t="s">
        <v>159</v>
      </c>
      <c r="AB431" s="25" t="s">
        <v>1030</v>
      </c>
      <c r="AC431" s="26"/>
    </row>
    <row r="432" spans="1:29" ht="156" customHeight="1" x14ac:dyDescent="0.25">
      <c r="A432" s="21" t="s">
        <v>1031</v>
      </c>
      <c r="B432" s="22" t="s">
        <v>1032</v>
      </c>
      <c r="C432" s="23"/>
      <c r="D432" s="23" t="s">
        <v>235</v>
      </c>
      <c r="E432" s="27">
        <v>0</v>
      </c>
      <c r="F432" s="27">
        <v>0</v>
      </c>
      <c r="G432" s="27">
        <v>0</v>
      </c>
      <c r="H432" s="27">
        <v>0</v>
      </c>
      <c r="I432" s="27">
        <v>0</v>
      </c>
      <c r="J432" s="27">
        <v>0</v>
      </c>
      <c r="K432" s="27">
        <v>0</v>
      </c>
      <c r="L432" s="27">
        <v>0</v>
      </c>
      <c r="M432" s="27">
        <v>0</v>
      </c>
      <c r="N432" s="27">
        <v>0</v>
      </c>
      <c r="O432" s="27">
        <v>0</v>
      </c>
      <c r="P432" s="27">
        <v>0</v>
      </c>
      <c r="Q432" s="27">
        <v>0</v>
      </c>
      <c r="R432" s="27">
        <v>0</v>
      </c>
      <c r="S432" s="27">
        <v>0</v>
      </c>
      <c r="T432" s="27">
        <v>0</v>
      </c>
      <c r="U432" s="27">
        <v>0</v>
      </c>
      <c r="V432" s="27">
        <v>0</v>
      </c>
      <c r="W432" s="27">
        <v>0</v>
      </c>
      <c r="X432" s="27">
        <v>0</v>
      </c>
      <c r="Y432" s="23"/>
      <c r="Z432" s="25"/>
      <c r="AA432" s="25"/>
      <c r="AB432" s="25"/>
      <c r="AC432" s="26"/>
    </row>
    <row r="433" spans="1:29" ht="51.75" customHeight="1" x14ac:dyDescent="0.25">
      <c r="A433" s="21" t="s">
        <v>1033</v>
      </c>
      <c r="B433" s="22" t="s">
        <v>1034</v>
      </c>
      <c r="C433" s="23" t="s">
        <v>177</v>
      </c>
      <c r="D433" s="23" t="s">
        <v>235</v>
      </c>
      <c r="E433" s="24">
        <f>SUM(E434:E434)+330400</f>
        <v>330400</v>
      </c>
      <c r="F433" s="24">
        <f>SUM(F434:F434)+330400</f>
        <v>330400</v>
      </c>
      <c r="G433" s="24">
        <f t="shared" ref="G433:N433" si="214">SUM(G434:G434)</f>
        <v>0</v>
      </c>
      <c r="H433" s="24">
        <f t="shared" si="214"/>
        <v>0</v>
      </c>
      <c r="I433" s="24">
        <f t="shared" si="214"/>
        <v>0</v>
      </c>
      <c r="J433" s="24">
        <f t="shared" si="214"/>
        <v>0</v>
      </c>
      <c r="K433" s="24">
        <f t="shared" si="214"/>
        <v>0</v>
      </c>
      <c r="L433" s="24">
        <f t="shared" si="214"/>
        <v>0</v>
      </c>
      <c r="M433" s="24">
        <f t="shared" si="214"/>
        <v>0</v>
      </c>
      <c r="N433" s="24">
        <f t="shared" si="214"/>
        <v>0</v>
      </c>
      <c r="O433" s="24">
        <f>SUM(O434:O434)+330306.25</f>
        <v>330306.25</v>
      </c>
      <c r="P433" s="24">
        <f>SUM(P434:P434)+330306.25</f>
        <v>330306.25</v>
      </c>
      <c r="Q433" s="24">
        <f t="shared" ref="Q433:X433" si="215">SUM(Q434:Q434)</f>
        <v>0</v>
      </c>
      <c r="R433" s="24">
        <f t="shared" si="215"/>
        <v>0</v>
      </c>
      <c r="S433" s="24">
        <f t="shared" si="215"/>
        <v>0</v>
      </c>
      <c r="T433" s="24">
        <f t="shared" si="215"/>
        <v>0</v>
      </c>
      <c r="U433" s="24">
        <f t="shared" si="215"/>
        <v>0</v>
      </c>
      <c r="V433" s="24">
        <f t="shared" si="215"/>
        <v>0</v>
      </c>
      <c r="W433" s="24">
        <f t="shared" si="215"/>
        <v>0</v>
      </c>
      <c r="X433" s="24">
        <f t="shared" si="215"/>
        <v>0</v>
      </c>
      <c r="Y433" s="23" t="s">
        <v>925</v>
      </c>
      <c r="Z433" s="25" t="s">
        <v>34</v>
      </c>
      <c r="AA433" s="25" t="s">
        <v>161</v>
      </c>
      <c r="AB433" s="25" t="s">
        <v>161</v>
      </c>
      <c r="AC433" s="26"/>
    </row>
    <row r="434" spans="1:29" ht="66.75" customHeight="1" x14ac:dyDescent="0.25">
      <c r="A434" s="21" t="s">
        <v>1035</v>
      </c>
      <c r="B434" s="22" t="s">
        <v>1036</v>
      </c>
      <c r="C434" s="23"/>
      <c r="D434" s="23" t="s">
        <v>235</v>
      </c>
      <c r="E434" s="27">
        <v>0</v>
      </c>
      <c r="F434" s="27">
        <v>0</v>
      </c>
      <c r="G434" s="27">
        <v>0</v>
      </c>
      <c r="H434" s="27">
        <v>0</v>
      </c>
      <c r="I434" s="27">
        <v>0</v>
      </c>
      <c r="J434" s="27">
        <v>0</v>
      </c>
      <c r="K434" s="27">
        <v>0</v>
      </c>
      <c r="L434" s="27">
        <v>0</v>
      </c>
      <c r="M434" s="27">
        <v>0</v>
      </c>
      <c r="N434" s="27">
        <v>0</v>
      </c>
      <c r="O434" s="27">
        <v>0</v>
      </c>
      <c r="P434" s="27">
        <v>0</v>
      </c>
      <c r="Q434" s="27">
        <v>0</v>
      </c>
      <c r="R434" s="27">
        <v>0</v>
      </c>
      <c r="S434" s="27">
        <v>0</v>
      </c>
      <c r="T434" s="27">
        <v>0</v>
      </c>
      <c r="U434" s="27">
        <v>0</v>
      </c>
      <c r="V434" s="27">
        <v>0</v>
      </c>
      <c r="W434" s="27">
        <v>0</v>
      </c>
      <c r="X434" s="27">
        <v>0</v>
      </c>
      <c r="Y434" s="23"/>
      <c r="Z434" s="25"/>
      <c r="AA434" s="25"/>
      <c r="AB434" s="25"/>
      <c r="AC434" s="26"/>
    </row>
    <row r="435" spans="1:29" ht="70.5" customHeight="1" x14ac:dyDescent="0.25">
      <c r="A435" s="21" t="s">
        <v>1037</v>
      </c>
      <c r="B435" s="22" t="s">
        <v>1038</v>
      </c>
      <c r="C435" s="23"/>
      <c r="D435" s="23" t="s">
        <v>261</v>
      </c>
      <c r="E435" s="24">
        <f>SUM(E436:E436)+9728</f>
        <v>9728</v>
      </c>
      <c r="F435" s="24">
        <f>SUM(F436:F436)+9728</f>
        <v>9728</v>
      </c>
      <c r="G435" s="24">
        <f t="shared" ref="G435:N435" si="216">SUM(G436:G436)</f>
        <v>0</v>
      </c>
      <c r="H435" s="24">
        <f t="shared" si="216"/>
        <v>0</v>
      </c>
      <c r="I435" s="24">
        <f t="shared" si="216"/>
        <v>0</v>
      </c>
      <c r="J435" s="24">
        <f t="shared" si="216"/>
        <v>0</v>
      </c>
      <c r="K435" s="24">
        <f t="shared" si="216"/>
        <v>0</v>
      </c>
      <c r="L435" s="24">
        <f t="shared" si="216"/>
        <v>0</v>
      </c>
      <c r="M435" s="24">
        <f t="shared" si="216"/>
        <v>0</v>
      </c>
      <c r="N435" s="24">
        <f t="shared" si="216"/>
        <v>0</v>
      </c>
      <c r="O435" s="24">
        <f>SUM(O436:O436)+9728.17</f>
        <v>9728.17</v>
      </c>
      <c r="P435" s="24">
        <f>SUM(P436:P436)+9728.17</f>
        <v>9728.17</v>
      </c>
      <c r="Q435" s="24">
        <f t="shared" ref="Q435:X435" si="217">SUM(Q436:Q436)</f>
        <v>0</v>
      </c>
      <c r="R435" s="24">
        <f t="shared" si="217"/>
        <v>0</v>
      </c>
      <c r="S435" s="24">
        <f t="shared" si="217"/>
        <v>0</v>
      </c>
      <c r="T435" s="24">
        <f t="shared" si="217"/>
        <v>0</v>
      </c>
      <c r="U435" s="24">
        <f t="shared" si="217"/>
        <v>0</v>
      </c>
      <c r="V435" s="24">
        <f t="shared" si="217"/>
        <v>0</v>
      </c>
      <c r="W435" s="24">
        <f t="shared" si="217"/>
        <v>0</v>
      </c>
      <c r="X435" s="24">
        <f t="shared" si="217"/>
        <v>0</v>
      </c>
      <c r="Y435" s="23" t="s">
        <v>1039</v>
      </c>
      <c r="Z435" s="25" t="s">
        <v>34</v>
      </c>
      <c r="AA435" s="25" t="s">
        <v>42</v>
      </c>
      <c r="AB435" s="25" t="s">
        <v>159</v>
      </c>
      <c r="AC435" s="26"/>
    </row>
    <row r="436" spans="1:29" ht="54" customHeight="1" x14ac:dyDescent="0.25">
      <c r="A436" s="21" t="s">
        <v>1040</v>
      </c>
      <c r="B436" s="22" t="s">
        <v>1041</v>
      </c>
      <c r="C436" s="23"/>
      <c r="D436" s="23" t="s">
        <v>261</v>
      </c>
      <c r="E436" s="27">
        <v>0</v>
      </c>
      <c r="F436" s="27">
        <v>0</v>
      </c>
      <c r="G436" s="27">
        <v>0</v>
      </c>
      <c r="H436" s="27">
        <v>0</v>
      </c>
      <c r="I436" s="27">
        <v>0</v>
      </c>
      <c r="J436" s="27">
        <v>0</v>
      </c>
      <c r="K436" s="27">
        <v>0</v>
      </c>
      <c r="L436" s="27">
        <v>0</v>
      </c>
      <c r="M436" s="27">
        <v>0</v>
      </c>
      <c r="N436" s="27">
        <v>0</v>
      </c>
      <c r="O436" s="27">
        <v>0</v>
      </c>
      <c r="P436" s="27">
        <v>0</v>
      </c>
      <c r="Q436" s="27">
        <v>0</v>
      </c>
      <c r="R436" s="27">
        <v>0</v>
      </c>
      <c r="S436" s="27">
        <v>0</v>
      </c>
      <c r="T436" s="27">
        <v>0</v>
      </c>
      <c r="U436" s="27">
        <v>0</v>
      </c>
      <c r="V436" s="27">
        <v>0</v>
      </c>
      <c r="W436" s="27">
        <v>0</v>
      </c>
      <c r="X436" s="27">
        <v>0</v>
      </c>
      <c r="Y436" s="23"/>
      <c r="Z436" s="25"/>
      <c r="AA436" s="25"/>
      <c r="AB436" s="25"/>
      <c r="AC436" s="26"/>
    </row>
    <row r="437" spans="1:29" ht="51.75" customHeight="1" x14ac:dyDescent="0.25">
      <c r="A437" s="21" t="s">
        <v>1042</v>
      </c>
      <c r="B437" s="22" t="s">
        <v>1043</v>
      </c>
      <c r="C437" s="23"/>
      <c r="D437" s="23" t="s">
        <v>261</v>
      </c>
      <c r="E437" s="24">
        <f>SUM(E438:E438)+3461</f>
        <v>3461</v>
      </c>
      <c r="F437" s="24">
        <f>SUM(F438:F438)+3461</f>
        <v>3461</v>
      </c>
      <c r="G437" s="24">
        <f t="shared" ref="G437:N437" si="218">SUM(G438:G438)</f>
        <v>0</v>
      </c>
      <c r="H437" s="24">
        <f t="shared" si="218"/>
        <v>0</v>
      </c>
      <c r="I437" s="24">
        <f t="shared" si="218"/>
        <v>0</v>
      </c>
      <c r="J437" s="24">
        <f t="shared" si="218"/>
        <v>0</v>
      </c>
      <c r="K437" s="24">
        <f t="shared" si="218"/>
        <v>0</v>
      </c>
      <c r="L437" s="24">
        <f t="shared" si="218"/>
        <v>0</v>
      </c>
      <c r="M437" s="24">
        <f t="shared" si="218"/>
        <v>0</v>
      </c>
      <c r="N437" s="24">
        <f t="shared" si="218"/>
        <v>0</v>
      </c>
      <c r="O437" s="24">
        <f>SUM(O438:O438)+2250.6</f>
        <v>2250.6</v>
      </c>
      <c r="P437" s="24">
        <f>SUM(P438:P438)+2250.6</f>
        <v>2250.6</v>
      </c>
      <c r="Q437" s="24">
        <f t="shared" ref="Q437:X437" si="219">SUM(Q438:Q438)</f>
        <v>0</v>
      </c>
      <c r="R437" s="24">
        <f t="shared" si="219"/>
        <v>0</v>
      </c>
      <c r="S437" s="24">
        <f t="shared" si="219"/>
        <v>0</v>
      </c>
      <c r="T437" s="24">
        <f t="shared" si="219"/>
        <v>0</v>
      </c>
      <c r="U437" s="24">
        <f t="shared" si="219"/>
        <v>0</v>
      </c>
      <c r="V437" s="24">
        <f t="shared" si="219"/>
        <v>0</v>
      </c>
      <c r="W437" s="24">
        <f t="shared" si="219"/>
        <v>0</v>
      </c>
      <c r="X437" s="24">
        <f t="shared" si="219"/>
        <v>0</v>
      </c>
      <c r="Y437" s="23" t="s">
        <v>198</v>
      </c>
      <c r="Z437" s="25" t="s">
        <v>34</v>
      </c>
      <c r="AA437" s="25" t="s">
        <v>42</v>
      </c>
      <c r="AB437" s="25" t="s">
        <v>42</v>
      </c>
      <c r="AC437" s="26"/>
    </row>
    <row r="438" spans="1:29" ht="55.5" customHeight="1" x14ac:dyDescent="0.25">
      <c r="A438" s="21" t="s">
        <v>1044</v>
      </c>
      <c r="B438" s="22" t="s">
        <v>1045</v>
      </c>
      <c r="C438" s="23"/>
      <c r="D438" s="23" t="s">
        <v>261</v>
      </c>
      <c r="E438" s="27">
        <v>0</v>
      </c>
      <c r="F438" s="27">
        <v>0</v>
      </c>
      <c r="G438" s="27">
        <v>0</v>
      </c>
      <c r="H438" s="27">
        <v>0</v>
      </c>
      <c r="I438" s="27">
        <v>0</v>
      </c>
      <c r="J438" s="27">
        <v>0</v>
      </c>
      <c r="K438" s="27">
        <v>0</v>
      </c>
      <c r="L438" s="27">
        <v>0</v>
      </c>
      <c r="M438" s="27">
        <v>0</v>
      </c>
      <c r="N438" s="27">
        <v>0</v>
      </c>
      <c r="O438" s="27">
        <v>0</v>
      </c>
      <c r="P438" s="27">
        <v>0</v>
      </c>
      <c r="Q438" s="27">
        <v>0</v>
      </c>
      <c r="R438" s="27">
        <v>0</v>
      </c>
      <c r="S438" s="27">
        <v>0</v>
      </c>
      <c r="T438" s="27">
        <v>0</v>
      </c>
      <c r="U438" s="27">
        <v>0</v>
      </c>
      <c r="V438" s="27">
        <v>0</v>
      </c>
      <c r="W438" s="27">
        <v>0</v>
      </c>
      <c r="X438" s="27">
        <v>0</v>
      </c>
      <c r="Y438" s="23"/>
      <c r="Z438" s="25"/>
      <c r="AA438" s="25"/>
      <c r="AB438" s="25"/>
      <c r="AC438" s="26"/>
    </row>
    <row r="439" spans="1:29" ht="127.5" customHeight="1" x14ac:dyDescent="0.25">
      <c r="A439" s="15" t="s">
        <v>1046</v>
      </c>
      <c r="B439" s="16" t="s">
        <v>1047</v>
      </c>
      <c r="C439" s="17"/>
      <c r="D439" s="17"/>
      <c r="E439" s="18">
        <f t="shared" ref="E439:X439" si="220">SUM(E440:E440)</f>
        <v>110749</v>
      </c>
      <c r="F439" s="18">
        <f t="shared" si="220"/>
        <v>110749</v>
      </c>
      <c r="G439" s="18">
        <f t="shared" si="220"/>
        <v>0</v>
      </c>
      <c r="H439" s="18">
        <f t="shared" si="220"/>
        <v>0</v>
      </c>
      <c r="I439" s="18">
        <f t="shared" si="220"/>
        <v>0</v>
      </c>
      <c r="J439" s="18">
        <f t="shared" si="220"/>
        <v>0</v>
      </c>
      <c r="K439" s="18">
        <f t="shared" si="220"/>
        <v>0</v>
      </c>
      <c r="L439" s="18">
        <f t="shared" si="220"/>
        <v>0</v>
      </c>
      <c r="M439" s="18">
        <f t="shared" si="220"/>
        <v>0</v>
      </c>
      <c r="N439" s="18">
        <f t="shared" si="220"/>
        <v>0</v>
      </c>
      <c r="O439" s="18">
        <f t="shared" si="220"/>
        <v>103848.45</v>
      </c>
      <c r="P439" s="18">
        <f t="shared" si="220"/>
        <v>103848.45</v>
      </c>
      <c r="Q439" s="18">
        <f t="shared" si="220"/>
        <v>0</v>
      </c>
      <c r="R439" s="18">
        <f t="shared" si="220"/>
        <v>0</v>
      </c>
      <c r="S439" s="18">
        <f t="shared" si="220"/>
        <v>0</v>
      </c>
      <c r="T439" s="18">
        <f t="shared" si="220"/>
        <v>0</v>
      </c>
      <c r="U439" s="18">
        <f t="shared" si="220"/>
        <v>0</v>
      </c>
      <c r="V439" s="18">
        <f t="shared" si="220"/>
        <v>0</v>
      </c>
      <c r="W439" s="18">
        <f t="shared" si="220"/>
        <v>0</v>
      </c>
      <c r="X439" s="18">
        <f t="shared" si="220"/>
        <v>0</v>
      </c>
      <c r="Y439" s="17"/>
      <c r="Z439" s="19"/>
      <c r="AA439" s="19"/>
      <c r="AB439" s="19"/>
      <c r="AC439" s="20"/>
    </row>
    <row r="440" spans="1:29" ht="74.25" customHeight="1" x14ac:dyDescent="0.25">
      <c r="A440" s="21" t="s">
        <v>1048</v>
      </c>
      <c r="B440" s="22" t="s">
        <v>1049</v>
      </c>
      <c r="C440" s="23" t="s">
        <v>177</v>
      </c>
      <c r="D440" s="23" t="s">
        <v>235</v>
      </c>
      <c r="E440" s="24">
        <f>SUM(E441:E441)+110749</f>
        <v>110749</v>
      </c>
      <c r="F440" s="24">
        <f>SUM(F441:F441)+110749</f>
        <v>110749</v>
      </c>
      <c r="G440" s="24">
        <f t="shared" ref="G440:N440" si="221">SUM(G441:G441)</f>
        <v>0</v>
      </c>
      <c r="H440" s="24">
        <f t="shared" si="221"/>
        <v>0</v>
      </c>
      <c r="I440" s="24">
        <f t="shared" si="221"/>
        <v>0</v>
      </c>
      <c r="J440" s="24">
        <f t="shared" si="221"/>
        <v>0</v>
      </c>
      <c r="K440" s="24">
        <f t="shared" si="221"/>
        <v>0</v>
      </c>
      <c r="L440" s="24">
        <f t="shared" si="221"/>
        <v>0</v>
      </c>
      <c r="M440" s="24">
        <f t="shared" si="221"/>
        <v>0</v>
      </c>
      <c r="N440" s="24">
        <f t="shared" si="221"/>
        <v>0</v>
      </c>
      <c r="O440" s="24">
        <f>SUM(O441:O441)+103848.45</f>
        <v>103848.45</v>
      </c>
      <c r="P440" s="24">
        <f>SUM(P441:P441)+103848.45</f>
        <v>103848.45</v>
      </c>
      <c r="Q440" s="24">
        <f t="shared" ref="Q440:X440" si="222">SUM(Q441:Q441)</f>
        <v>0</v>
      </c>
      <c r="R440" s="24">
        <f t="shared" si="222"/>
        <v>0</v>
      </c>
      <c r="S440" s="24">
        <f t="shared" si="222"/>
        <v>0</v>
      </c>
      <c r="T440" s="24">
        <f t="shared" si="222"/>
        <v>0</v>
      </c>
      <c r="U440" s="24">
        <f t="shared" si="222"/>
        <v>0</v>
      </c>
      <c r="V440" s="24">
        <f t="shared" si="222"/>
        <v>0</v>
      </c>
      <c r="W440" s="24">
        <f t="shared" si="222"/>
        <v>0</v>
      </c>
      <c r="X440" s="24">
        <f t="shared" si="222"/>
        <v>0</v>
      </c>
      <c r="Y440" s="23" t="s">
        <v>1050</v>
      </c>
      <c r="Z440" s="25" t="s">
        <v>304</v>
      </c>
      <c r="AA440" s="25" t="s">
        <v>1051</v>
      </c>
      <c r="AB440" s="25" t="s">
        <v>1051</v>
      </c>
      <c r="AC440" s="26"/>
    </row>
    <row r="441" spans="1:29" ht="92.25" customHeight="1" x14ac:dyDescent="0.25">
      <c r="A441" s="21" t="s">
        <v>1052</v>
      </c>
      <c r="B441" s="22" t="s">
        <v>1053</v>
      </c>
      <c r="C441" s="23"/>
      <c r="D441" s="23" t="s">
        <v>235</v>
      </c>
      <c r="E441" s="27">
        <v>0</v>
      </c>
      <c r="F441" s="27">
        <v>0</v>
      </c>
      <c r="G441" s="27">
        <v>0</v>
      </c>
      <c r="H441" s="27">
        <v>0</v>
      </c>
      <c r="I441" s="27">
        <v>0</v>
      </c>
      <c r="J441" s="27">
        <v>0</v>
      </c>
      <c r="K441" s="27">
        <v>0</v>
      </c>
      <c r="L441" s="27">
        <v>0</v>
      </c>
      <c r="M441" s="27">
        <v>0</v>
      </c>
      <c r="N441" s="27">
        <v>0</v>
      </c>
      <c r="O441" s="27">
        <v>0</v>
      </c>
      <c r="P441" s="27">
        <v>0</v>
      </c>
      <c r="Q441" s="27">
        <v>0</v>
      </c>
      <c r="R441" s="27">
        <v>0</v>
      </c>
      <c r="S441" s="27">
        <v>0</v>
      </c>
      <c r="T441" s="27">
        <v>0</v>
      </c>
      <c r="U441" s="27">
        <v>0</v>
      </c>
      <c r="V441" s="27">
        <v>0</v>
      </c>
      <c r="W441" s="27">
        <v>0</v>
      </c>
      <c r="X441" s="27">
        <v>0</v>
      </c>
      <c r="Y441" s="23"/>
      <c r="Z441" s="25"/>
      <c r="AA441" s="25"/>
      <c r="AB441" s="25"/>
      <c r="AC441" s="26"/>
    </row>
    <row r="442" spans="1:29" ht="102" customHeight="1" x14ac:dyDescent="0.25">
      <c r="A442" s="15" t="s">
        <v>1054</v>
      </c>
      <c r="B442" s="16" t="s">
        <v>1055</v>
      </c>
      <c r="C442" s="17"/>
      <c r="D442" s="17"/>
      <c r="E442" s="18">
        <f t="shared" ref="E442:X442" si="223">SUM(E443:E443)</f>
        <v>56402</v>
      </c>
      <c r="F442" s="18">
        <f t="shared" si="223"/>
        <v>56402</v>
      </c>
      <c r="G442" s="18">
        <f t="shared" si="223"/>
        <v>0</v>
      </c>
      <c r="H442" s="18">
        <f t="shared" si="223"/>
        <v>0</v>
      </c>
      <c r="I442" s="18">
        <f t="shared" si="223"/>
        <v>0</v>
      </c>
      <c r="J442" s="18">
        <f t="shared" si="223"/>
        <v>0</v>
      </c>
      <c r="K442" s="18">
        <f t="shared" si="223"/>
        <v>0</v>
      </c>
      <c r="L442" s="18">
        <f t="shared" si="223"/>
        <v>0</v>
      </c>
      <c r="M442" s="18">
        <f t="shared" si="223"/>
        <v>0</v>
      </c>
      <c r="N442" s="18">
        <f t="shared" si="223"/>
        <v>0</v>
      </c>
      <c r="O442" s="18">
        <f t="shared" si="223"/>
        <v>53265.73</v>
      </c>
      <c r="P442" s="18">
        <f t="shared" si="223"/>
        <v>53265.73</v>
      </c>
      <c r="Q442" s="18">
        <f t="shared" si="223"/>
        <v>0</v>
      </c>
      <c r="R442" s="18">
        <f t="shared" si="223"/>
        <v>0</v>
      </c>
      <c r="S442" s="18">
        <f t="shared" si="223"/>
        <v>0</v>
      </c>
      <c r="T442" s="18">
        <f t="shared" si="223"/>
        <v>0</v>
      </c>
      <c r="U442" s="18">
        <f t="shared" si="223"/>
        <v>0</v>
      </c>
      <c r="V442" s="18">
        <f t="shared" si="223"/>
        <v>0</v>
      </c>
      <c r="W442" s="18">
        <f t="shared" si="223"/>
        <v>0</v>
      </c>
      <c r="X442" s="18">
        <f t="shared" si="223"/>
        <v>0</v>
      </c>
      <c r="Y442" s="17"/>
      <c r="Z442" s="19"/>
      <c r="AA442" s="19"/>
      <c r="AB442" s="19"/>
      <c r="AC442" s="20"/>
    </row>
    <row r="443" spans="1:29" ht="51.75" customHeight="1" x14ac:dyDescent="0.25">
      <c r="A443" s="21" t="s">
        <v>1056</v>
      </c>
      <c r="B443" s="22" t="s">
        <v>1057</v>
      </c>
      <c r="C443" s="23" t="s">
        <v>177</v>
      </c>
      <c r="D443" s="23" t="s">
        <v>448</v>
      </c>
      <c r="E443" s="24">
        <f>SUM(E444:E444)+56402</f>
        <v>56402</v>
      </c>
      <c r="F443" s="24">
        <f>SUM(F444:F444)+56402</f>
        <v>56402</v>
      </c>
      <c r="G443" s="24">
        <f t="shared" ref="G443:N443" si="224">SUM(G444:G444)</f>
        <v>0</v>
      </c>
      <c r="H443" s="24">
        <f t="shared" si="224"/>
        <v>0</v>
      </c>
      <c r="I443" s="24">
        <f t="shared" si="224"/>
        <v>0</v>
      </c>
      <c r="J443" s="24">
        <f t="shared" si="224"/>
        <v>0</v>
      </c>
      <c r="K443" s="24">
        <f t="shared" si="224"/>
        <v>0</v>
      </c>
      <c r="L443" s="24">
        <f t="shared" si="224"/>
        <v>0</v>
      </c>
      <c r="M443" s="24">
        <f t="shared" si="224"/>
        <v>0</v>
      </c>
      <c r="N443" s="24">
        <f t="shared" si="224"/>
        <v>0</v>
      </c>
      <c r="O443" s="24">
        <f>SUM(O444:O444)+53265.73</f>
        <v>53265.73</v>
      </c>
      <c r="P443" s="24">
        <f>SUM(P444:P444)+53265.73</f>
        <v>53265.73</v>
      </c>
      <c r="Q443" s="24">
        <f t="shared" ref="Q443:X443" si="225">SUM(Q444:Q444)</f>
        <v>0</v>
      </c>
      <c r="R443" s="24">
        <f t="shared" si="225"/>
        <v>0</v>
      </c>
      <c r="S443" s="24">
        <f t="shared" si="225"/>
        <v>0</v>
      </c>
      <c r="T443" s="24">
        <f t="shared" si="225"/>
        <v>0</v>
      </c>
      <c r="U443" s="24">
        <f t="shared" si="225"/>
        <v>0</v>
      </c>
      <c r="V443" s="24">
        <f t="shared" si="225"/>
        <v>0</v>
      </c>
      <c r="W443" s="24">
        <f t="shared" si="225"/>
        <v>0</v>
      </c>
      <c r="X443" s="24">
        <f t="shared" si="225"/>
        <v>0</v>
      </c>
      <c r="Y443" s="23" t="s">
        <v>1058</v>
      </c>
      <c r="Z443" s="25" t="s">
        <v>34</v>
      </c>
      <c r="AA443" s="25" t="s">
        <v>42</v>
      </c>
      <c r="AB443" s="25" t="s">
        <v>159</v>
      </c>
      <c r="AC443" s="26"/>
    </row>
    <row r="444" spans="1:29" ht="55.5" customHeight="1" x14ac:dyDescent="0.25">
      <c r="A444" s="21" t="s">
        <v>1059</v>
      </c>
      <c r="B444" s="22" t="s">
        <v>1060</v>
      </c>
      <c r="C444" s="23"/>
      <c r="D444" s="23" t="s">
        <v>448</v>
      </c>
      <c r="E444" s="27">
        <v>0</v>
      </c>
      <c r="F444" s="27">
        <v>0</v>
      </c>
      <c r="G444" s="27">
        <v>0</v>
      </c>
      <c r="H444" s="27">
        <v>0</v>
      </c>
      <c r="I444" s="27">
        <v>0</v>
      </c>
      <c r="J444" s="27">
        <v>0</v>
      </c>
      <c r="K444" s="27">
        <v>0</v>
      </c>
      <c r="L444" s="27">
        <v>0</v>
      </c>
      <c r="M444" s="27">
        <v>0</v>
      </c>
      <c r="N444" s="27">
        <v>0</v>
      </c>
      <c r="O444" s="27">
        <v>0</v>
      </c>
      <c r="P444" s="27">
        <v>0</v>
      </c>
      <c r="Q444" s="27">
        <v>0</v>
      </c>
      <c r="R444" s="27">
        <v>0</v>
      </c>
      <c r="S444" s="27">
        <v>0</v>
      </c>
      <c r="T444" s="27">
        <v>0</v>
      </c>
      <c r="U444" s="27">
        <v>0</v>
      </c>
      <c r="V444" s="27">
        <v>0</v>
      </c>
      <c r="W444" s="27">
        <v>0</v>
      </c>
      <c r="X444" s="27">
        <v>0</v>
      </c>
      <c r="Y444" s="23"/>
      <c r="Z444" s="25"/>
      <c r="AA444" s="25"/>
      <c r="AB444" s="25"/>
      <c r="AC444" s="26"/>
    </row>
    <row r="445" spans="1:29" ht="83.25" customHeight="1" x14ac:dyDescent="0.25">
      <c r="A445" s="15" t="s">
        <v>1061</v>
      </c>
      <c r="B445" s="16" t="s">
        <v>1062</v>
      </c>
      <c r="C445" s="17"/>
      <c r="D445" s="17"/>
      <c r="E445" s="18">
        <f t="shared" ref="E445:X445" si="226">E446+E448</f>
        <v>3098</v>
      </c>
      <c r="F445" s="18">
        <f t="shared" si="226"/>
        <v>3098</v>
      </c>
      <c r="G445" s="18">
        <f t="shared" si="226"/>
        <v>0</v>
      </c>
      <c r="H445" s="18">
        <f t="shared" si="226"/>
        <v>0</v>
      </c>
      <c r="I445" s="18">
        <f t="shared" si="226"/>
        <v>0</v>
      </c>
      <c r="J445" s="18">
        <f t="shared" si="226"/>
        <v>0</v>
      </c>
      <c r="K445" s="18">
        <f t="shared" si="226"/>
        <v>0</v>
      </c>
      <c r="L445" s="18">
        <f t="shared" si="226"/>
        <v>0</v>
      </c>
      <c r="M445" s="18">
        <f t="shared" si="226"/>
        <v>0</v>
      </c>
      <c r="N445" s="18">
        <f t="shared" si="226"/>
        <v>0</v>
      </c>
      <c r="O445" s="18">
        <f t="shared" si="226"/>
        <v>0</v>
      </c>
      <c r="P445" s="18">
        <f t="shared" si="226"/>
        <v>0</v>
      </c>
      <c r="Q445" s="18">
        <f t="shared" si="226"/>
        <v>0</v>
      </c>
      <c r="R445" s="18">
        <f t="shared" si="226"/>
        <v>0</v>
      </c>
      <c r="S445" s="18">
        <f t="shared" si="226"/>
        <v>0</v>
      </c>
      <c r="T445" s="18">
        <f t="shared" si="226"/>
        <v>0</v>
      </c>
      <c r="U445" s="18">
        <f t="shared" si="226"/>
        <v>0</v>
      </c>
      <c r="V445" s="18">
        <f t="shared" si="226"/>
        <v>0</v>
      </c>
      <c r="W445" s="18">
        <f t="shared" si="226"/>
        <v>0</v>
      </c>
      <c r="X445" s="18">
        <f t="shared" si="226"/>
        <v>0</v>
      </c>
      <c r="Y445" s="17"/>
      <c r="Z445" s="19"/>
      <c r="AA445" s="19"/>
      <c r="AB445" s="19"/>
      <c r="AC445" s="20"/>
    </row>
    <row r="446" spans="1:29" ht="70.5" customHeight="1" x14ac:dyDescent="0.25">
      <c r="A446" s="21" t="s">
        <v>1063</v>
      </c>
      <c r="B446" s="22" t="s">
        <v>1064</v>
      </c>
      <c r="C446" s="23" t="s">
        <v>177</v>
      </c>
      <c r="D446" s="23" t="s">
        <v>448</v>
      </c>
      <c r="E446" s="24">
        <f>SUM(E447:E447)+1598</f>
        <v>1598</v>
      </c>
      <c r="F446" s="24">
        <f>SUM(F447:F447)+1598</f>
        <v>1598</v>
      </c>
      <c r="G446" s="24">
        <f t="shared" ref="G446:X446" si="227">SUM(G447:G447)</f>
        <v>0</v>
      </c>
      <c r="H446" s="24">
        <f t="shared" si="227"/>
        <v>0</v>
      </c>
      <c r="I446" s="24">
        <f t="shared" si="227"/>
        <v>0</v>
      </c>
      <c r="J446" s="24">
        <f t="shared" si="227"/>
        <v>0</v>
      </c>
      <c r="K446" s="24">
        <f t="shared" si="227"/>
        <v>0</v>
      </c>
      <c r="L446" s="24">
        <f t="shared" si="227"/>
        <v>0</v>
      </c>
      <c r="M446" s="24">
        <f t="shared" si="227"/>
        <v>0</v>
      </c>
      <c r="N446" s="24">
        <f t="shared" si="227"/>
        <v>0</v>
      </c>
      <c r="O446" s="24">
        <f t="shared" si="227"/>
        <v>0</v>
      </c>
      <c r="P446" s="24">
        <f t="shared" si="227"/>
        <v>0</v>
      </c>
      <c r="Q446" s="24">
        <f t="shared" si="227"/>
        <v>0</v>
      </c>
      <c r="R446" s="24">
        <f t="shared" si="227"/>
        <v>0</v>
      </c>
      <c r="S446" s="24">
        <f t="shared" si="227"/>
        <v>0</v>
      </c>
      <c r="T446" s="24">
        <f t="shared" si="227"/>
        <v>0</v>
      </c>
      <c r="U446" s="24">
        <f t="shared" si="227"/>
        <v>0</v>
      </c>
      <c r="V446" s="24">
        <f t="shared" si="227"/>
        <v>0</v>
      </c>
      <c r="W446" s="24">
        <f t="shared" si="227"/>
        <v>0</v>
      </c>
      <c r="X446" s="24">
        <f t="shared" si="227"/>
        <v>0</v>
      </c>
      <c r="Y446" s="23" t="s">
        <v>925</v>
      </c>
      <c r="Z446" s="25" t="s">
        <v>34</v>
      </c>
      <c r="AA446" s="25" t="s">
        <v>292</v>
      </c>
      <c r="AB446" s="25" t="s">
        <v>48</v>
      </c>
      <c r="AC446" s="26" t="s">
        <v>1065</v>
      </c>
    </row>
    <row r="447" spans="1:29" ht="81.75" customHeight="1" x14ac:dyDescent="0.25">
      <c r="A447" s="21" t="s">
        <v>1066</v>
      </c>
      <c r="B447" s="22" t="s">
        <v>1067</v>
      </c>
      <c r="C447" s="23"/>
      <c r="D447" s="23" t="s">
        <v>448</v>
      </c>
      <c r="E447" s="27">
        <v>0</v>
      </c>
      <c r="F447" s="27">
        <v>0</v>
      </c>
      <c r="G447" s="27">
        <v>0</v>
      </c>
      <c r="H447" s="27">
        <v>0</v>
      </c>
      <c r="I447" s="27">
        <v>0</v>
      </c>
      <c r="J447" s="27">
        <v>0</v>
      </c>
      <c r="K447" s="27">
        <v>0</v>
      </c>
      <c r="L447" s="27">
        <v>0</v>
      </c>
      <c r="M447" s="27">
        <v>0</v>
      </c>
      <c r="N447" s="27">
        <v>0</v>
      </c>
      <c r="O447" s="27">
        <v>0</v>
      </c>
      <c r="P447" s="27">
        <v>0</v>
      </c>
      <c r="Q447" s="27">
        <v>0</v>
      </c>
      <c r="R447" s="27">
        <v>0</v>
      </c>
      <c r="S447" s="27">
        <v>0</v>
      </c>
      <c r="T447" s="27">
        <v>0</v>
      </c>
      <c r="U447" s="27">
        <v>0</v>
      </c>
      <c r="V447" s="27">
        <v>0</v>
      </c>
      <c r="W447" s="27">
        <v>0</v>
      </c>
      <c r="X447" s="27">
        <v>0</v>
      </c>
      <c r="Y447" s="23"/>
      <c r="Z447" s="25"/>
      <c r="AA447" s="25"/>
      <c r="AB447" s="25"/>
      <c r="AC447" s="26"/>
    </row>
    <row r="448" spans="1:29" ht="51.75" customHeight="1" x14ac:dyDescent="0.25">
      <c r="A448" s="21" t="s">
        <v>1068</v>
      </c>
      <c r="B448" s="22" t="s">
        <v>1069</v>
      </c>
      <c r="C448" s="23" t="s">
        <v>177</v>
      </c>
      <c r="D448" s="23" t="s">
        <v>235</v>
      </c>
      <c r="E448" s="24">
        <f>SUM(E449:E449)+1500</f>
        <v>1500</v>
      </c>
      <c r="F448" s="24">
        <f>SUM(F449:F449)+1500</f>
        <v>1500</v>
      </c>
      <c r="G448" s="24">
        <f t="shared" ref="G448:X448" si="228">SUM(G449:G449)</f>
        <v>0</v>
      </c>
      <c r="H448" s="24">
        <f t="shared" si="228"/>
        <v>0</v>
      </c>
      <c r="I448" s="24">
        <f t="shared" si="228"/>
        <v>0</v>
      </c>
      <c r="J448" s="24">
        <f t="shared" si="228"/>
        <v>0</v>
      </c>
      <c r="K448" s="24">
        <f t="shared" si="228"/>
        <v>0</v>
      </c>
      <c r="L448" s="24">
        <f t="shared" si="228"/>
        <v>0</v>
      </c>
      <c r="M448" s="24">
        <f t="shared" si="228"/>
        <v>0</v>
      </c>
      <c r="N448" s="24">
        <f t="shared" si="228"/>
        <v>0</v>
      </c>
      <c r="O448" s="24">
        <f t="shared" si="228"/>
        <v>0</v>
      </c>
      <c r="P448" s="24">
        <f t="shared" si="228"/>
        <v>0</v>
      </c>
      <c r="Q448" s="24">
        <f t="shared" si="228"/>
        <v>0</v>
      </c>
      <c r="R448" s="24">
        <f t="shared" si="228"/>
        <v>0</v>
      </c>
      <c r="S448" s="24">
        <f t="shared" si="228"/>
        <v>0</v>
      </c>
      <c r="T448" s="24">
        <f t="shared" si="228"/>
        <v>0</v>
      </c>
      <c r="U448" s="24">
        <f t="shared" si="228"/>
        <v>0</v>
      </c>
      <c r="V448" s="24">
        <f t="shared" si="228"/>
        <v>0</v>
      </c>
      <c r="W448" s="24">
        <f t="shared" si="228"/>
        <v>0</v>
      </c>
      <c r="X448" s="24">
        <f t="shared" si="228"/>
        <v>0</v>
      </c>
      <c r="Y448" s="23" t="s">
        <v>1070</v>
      </c>
      <c r="Z448" s="25" t="s">
        <v>34</v>
      </c>
      <c r="AA448" s="25" t="s">
        <v>159</v>
      </c>
      <c r="AB448" s="25" t="s">
        <v>48</v>
      </c>
      <c r="AC448" s="26" t="s">
        <v>1071</v>
      </c>
    </row>
    <row r="449" spans="1:29" ht="66.75" customHeight="1" x14ac:dyDescent="0.25">
      <c r="A449" s="21" t="s">
        <v>1072</v>
      </c>
      <c r="B449" s="22" t="s">
        <v>1073</v>
      </c>
      <c r="C449" s="23"/>
      <c r="D449" s="23" t="s">
        <v>235</v>
      </c>
      <c r="E449" s="27">
        <v>0</v>
      </c>
      <c r="F449" s="27">
        <v>0</v>
      </c>
      <c r="G449" s="27">
        <v>0</v>
      </c>
      <c r="H449" s="27">
        <v>0</v>
      </c>
      <c r="I449" s="27">
        <v>0</v>
      </c>
      <c r="J449" s="27">
        <v>0</v>
      </c>
      <c r="K449" s="27">
        <v>0</v>
      </c>
      <c r="L449" s="27">
        <v>0</v>
      </c>
      <c r="M449" s="27">
        <v>0</v>
      </c>
      <c r="N449" s="27">
        <v>0</v>
      </c>
      <c r="O449" s="27">
        <v>0</v>
      </c>
      <c r="P449" s="27">
        <v>0</v>
      </c>
      <c r="Q449" s="27">
        <v>0</v>
      </c>
      <c r="R449" s="27">
        <v>0</v>
      </c>
      <c r="S449" s="27">
        <v>0</v>
      </c>
      <c r="T449" s="27">
        <v>0</v>
      </c>
      <c r="U449" s="27">
        <v>0</v>
      </c>
      <c r="V449" s="27">
        <v>0</v>
      </c>
      <c r="W449" s="27">
        <v>0</v>
      </c>
      <c r="X449" s="27">
        <v>0</v>
      </c>
      <c r="Y449" s="23"/>
      <c r="Z449" s="25"/>
      <c r="AA449" s="25"/>
      <c r="AB449" s="25"/>
      <c r="AC449" s="26"/>
    </row>
    <row r="450" spans="1:29" ht="31.5" customHeight="1" x14ac:dyDescent="0.25">
      <c r="A450" s="9" t="s">
        <v>1074</v>
      </c>
      <c r="B450" s="10" t="s">
        <v>1075</v>
      </c>
      <c r="C450" s="11"/>
      <c r="D450" s="11" t="s">
        <v>235</v>
      </c>
      <c r="E450" s="12">
        <f t="shared" ref="E450:N451" si="229">SUM(E451:E451)</f>
        <v>170327</v>
      </c>
      <c r="F450" s="12">
        <f t="shared" si="229"/>
        <v>110227</v>
      </c>
      <c r="G450" s="12">
        <f t="shared" si="229"/>
        <v>0</v>
      </c>
      <c r="H450" s="12">
        <f t="shared" si="229"/>
        <v>0</v>
      </c>
      <c r="I450" s="12">
        <f t="shared" si="229"/>
        <v>60100</v>
      </c>
      <c r="J450" s="12">
        <f t="shared" si="229"/>
        <v>0</v>
      </c>
      <c r="K450" s="12">
        <f t="shared" si="229"/>
        <v>0</v>
      </c>
      <c r="L450" s="12">
        <f t="shared" si="229"/>
        <v>0</v>
      </c>
      <c r="M450" s="12">
        <f t="shared" si="229"/>
        <v>0</v>
      </c>
      <c r="N450" s="12">
        <f t="shared" si="229"/>
        <v>0</v>
      </c>
      <c r="O450" s="12">
        <f t="shared" ref="O450:X451" si="230">SUM(O451:O451)</f>
        <v>169898.59</v>
      </c>
      <c r="P450" s="12">
        <f t="shared" si="230"/>
        <v>169898.59</v>
      </c>
      <c r="Q450" s="12">
        <f t="shared" si="230"/>
        <v>0</v>
      </c>
      <c r="R450" s="12">
        <f t="shared" si="230"/>
        <v>0</v>
      </c>
      <c r="S450" s="12">
        <f t="shared" si="230"/>
        <v>0</v>
      </c>
      <c r="T450" s="12">
        <f t="shared" si="230"/>
        <v>0</v>
      </c>
      <c r="U450" s="12">
        <f t="shared" si="230"/>
        <v>0</v>
      </c>
      <c r="V450" s="12">
        <f t="shared" si="230"/>
        <v>0</v>
      </c>
      <c r="W450" s="12">
        <f t="shared" si="230"/>
        <v>0</v>
      </c>
      <c r="X450" s="12">
        <f t="shared" si="230"/>
        <v>0</v>
      </c>
      <c r="Y450" s="11"/>
      <c r="Z450" s="13"/>
      <c r="AA450" s="13"/>
      <c r="AB450" s="13"/>
      <c r="AC450" s="14"/>
    </row>
    <row r="451" spans="1:29" ht="50.25" customHeight="1" x14ac:dyDescent="0.25">
      <c r="A451" s="15" t="s">
        <v>1076</v>
      </c>
      <c r="B451" s="16" t="s">
        <v>1077</v>
      </c>
      <c r="C451" s="17"/>
      <c r="D451" s="17"/>
      <c r="E451" s="18">
        <f t="shared" si="229"/>
        <v>170327</v>
      </c>
      <c r="F451" s="18">
        <f t="shared" si="229"/>
        <v>110227</v>
      </c>
      <c r="G451" s="18">
        <f t="shared" si="229"/>
        <v>0</v>
      </c>
      <c r="H451" s="18">
        <f t="shared" si="229"/>
        <v>0</v>
      </c>
      <c r="I451" s="18">
        <f t="shared" si="229"/>
        <v>60100</v>
      </c>
      <c r="J451" s="18">
        <f t="shared" si="229"/>
        <v>0</v>
      </c>
      <c r="K451" s="18">
        <f t="shared" si="229"/>
        <v>0</v>
      </c>
      <c r="L451" s="18">
        <f t="shared" si="229"/>
        <v>0</v>
      </c>
      <c r="M451" s="18">
        <f t="shared" si="229"/>
        <v>0</v>
      </c>
      <c r="N451" s="18">
        <f t="shared" si="229"/>
        <v>0</v>
      </c>
      <c r="O451" s="18">
        <f t="shared" si="230"/>
        <v>169898.59</v>
      </c>
      <c r="P451" s="18">
        <f t="shared" si="230"/>
        <v>169898.59</v>
      </c>
      <c r="Q451" s="18">
        <f t="shared" si="230"/>
        <v>0</v>
      </c>
      <c r="R451" s="18">
        <f t="shared" si="230"/>
        <v>0</v>
      </c>
      <c r="S451" s="18">
        <f t="shared" si="230"/>
        <v>0</v>
      </c>
      <c r="T451" s="18">
        <f t="shared" si="230"/>
        <v>0</v>
      </c>
      <c r="U451" s="18">
        <f t="shared" si="230"/>
        <v>0</v>
      </c>
      <c r="V451" s="18">
        <f t="shared" si="230"/>
        <v>0</v>
      </c>
      <c r="W451" s="18">
        <f t="shared" si="230"/>
        <v>0</v>
      </c>
      <c r="X451" s="18">
        <f t="shared" si="230"/>
        <v>0</v>
      </c>
      <c r="Y451" s="17"/>
      <c r="Z451" s="19"/>
      <c r="AA451" s="19"/>
      <c r="AB451" s="19"/>
      <c r="AC451" s="20"/>
    </row>
    <row r="452" spans="1:29" ht="48" customHeight="1" x14ac:dyDescent="0.25">
      <c r="A452" s="21" t="s">
        <v>1078</v>
      </c>
      <c r="B452" s="22" t="s">
        <v>1079</v>
      </c>
      <c r="C452" s="23" t="s">
        <v>177</v>
      </c>
      <c r="D452" s="23" t="s">
        <v>235</v>
      </c>
      <c r="E452" s="24">
        <f>SUM(E453:E453)+170327</f>
        <v>170327</v>
      </c>
      <c r="F452" s="24">
        <f>SUM(F453:F453)+110227</f>
        <v>110227</v>
      </c>
      <c r="G452" s="24">
        <f>SUM(G453:G453)</f>
        <v>0</v>
      </c>
      <c r="H452" s="24">
        <f>SUM(H453:H453)</f>
        <v>0</v>
      </c>
      <c r="I452" s="24">
        <f>SUM(I453:I453)+60100</f>
        <v>60100</v>
      </c>
      <c r="J452" s="24">
        <f>SUM(J453:J453)</f>
        <v>0</v>
      </c>
      <c r="K452" s="24">
        <f>SUM(K453:K453)</f>
        <v>0</v>
      </c>
      <c r="L452" s="24">
        <f>SUM(L453:L453)</f>
        <v>0</v>
      </c>
      <c r="M452" s="24">
        <f>SUM(M453:M453)</f>
        <v>0</v>
      </c>
      <c r="N452" s="24">
        <f>SUM(N453:N453)</f>
        <v>0</v>
      </c>
      <c r="O452" s="24">
        <f>SUM(O453:O453)+169898.59</f>
        <v>169898.59</v>
      </c>
      <c r="P452" s="24">
        <f>SUM(P453:P453)+169898.59</f>
        <v>169898.59</v>
      </c>
      <c r="Q452" s="24">
        <f t="shared" ref="Q452:X452" si="231">SUM(Q453:Q453)</f>
        <v>0</v>
      </c>
      <c r="R452" s="24">
        <f t="shared" si="231"/>
        <v>0</v>
      </c>
      <c r="S452" s="24">
        <f t="shared" si="231"/>
        <v>0</v>
      </c>
      <c r="T452" s="24">
        <f t="shared" si="231"/>
        <v>0</v>
      </c>
      <c r="U452" s="24">
        <f t="shared" si="231"/>
        <v>0</v>
      </c>
      <c r="V452" s="24">
        <f t="shared" si="231"/>
        <v>0</v>
      </c>
      <c r="W452" s="24">
        <f t="shared" si="231"/>
        <v>0</v>
      </c>
      <c r="X452" s="24">
        <f t="shared" si="231"/>
        <v>0</v>
      </c>
      <c r="Y452" s="23" t="s">
        <v>1080</v>
      </c>
      <c r="Z452" s="25" t="s">
        <v>34</v>
      </c>
      <c r="AA452" s="25" t="s">
        <v>1081</v>
      </c>
      <c r="AB452" s="25" t="s">
        <v>1082</v>
      </c>
      <c r="AC452" s="26"/>
    </row>
    <row r="453" spans="1:29" ht="33.75" customHeight="1" x14ac:dyDescent="0.25">
      <c r="A453" s="21" t="s">
        <v>1083</v>
      </c>
      <c r="B453" s="22" t="s">
        <v>1084</v>
      </c>
      <c r="C453" s="23"/>
      <c r="D453" s="23" t="s">
        <v>235</v>
      </c>
      <c r="E453" s="27">
        <v>0</v>
      </c>
      <c r="F453" s="27">
        <v>0</v>
      </c>
      <c r="G453" s="27">
        <v>0</v>
      </c>
      <c r="H453" s="27">
        <v>0</v>
      </c>
      <c r="I453" s="27">
        <v>0</v>
      </c>
      <c r="J453" s="27">
        <v>0</v>
      </c>
      <c r="K453" s="27">
        <v>0</v>
      </c>
      <c r="L453" s="27">
        <v>0</v>
      </c>
      <c r="M453" s="27">
        <v>0</v>
      </c>
      <c r="N453" s="27">
        <v>0</v>
      </c>
      <c r="O453" s="27">
        <v>0</v>
      </c>
      <c r="P453" s="27">
        <v>0</v>
      </c>
      <c r="Q453" s="27">
        <v>0</v>
      </c>
      <c r="R453" s="27">
        <v>0</v>
      </c>
      <c r="S453" s="27">
        <v>0</v>
      </c>
      <c r="T453" s="27">
        <v>0</v>
      </c>
      <c r="U453" s="27">
        <v>0</v>
      </c>
      <c r="V453" s="27">
        <v>0</v>
      </c>
      <c r="W453" s="27">
        <v>0</v>
      </c>
      <c r="X453" s="27">
        <v>0</v>
      </c>
      <c r="Y453" s="23"/>
      <c r="Z453" s="25"/>
      <c r="AA453" s="25"/>
      <c r="AB453" s="25"/>
      <c r="AC453" s="26"/>
    </row>
    <row r="454" spans="1:29" ht="60.75" x14ac:dyDescent="0.25">
      <c r="A454" s="9" t="s">
        <v>1085</v>
      </c>
      <c r="B454" s="10" t="s">
        <v>310</v>
      </c>
      <c r="C454" s="11" t="s">
        <v>311</v>
      </c>
      <c r="D454" s="11" t="s">
        <v>1086</v>
      </c>
      <c r="E454" s="12">
        <f t="shared" ref="E454:X454" si="232">SUM(E455:E455)</f>
        <v>344000</v>
      </c>
      <c r="F454" s="12">
        <f t="shared" si="232"/>
        <v>25000</v>
      </c>
      <c r="G454" s="12">
        <f t="shared" si="232"/>
        <v>0</v>
      </c>
      <c r="H454" s="12">
        <f t="shared" si="232"/>
        <v>0</v>
      </c>
      <c r="I454" s="12">
        <f t="shared" si="232"/>
        <v>319000</v>
      </c>
      <c r="J454" s="12">
        <f t="shared" si="232"/>
        <v>0</v>
      </c>
      <c r="K454" s="12">
        <f t="shared" si="232"/>
        <v>0</v>
      </c>
      <c r="L454" s="12">
        <f t="shared" si="232"/>
        <v>0</v>
      </c>
      <c r="M454" s="12">
        <f t="shared" si="232"/>
        <v>0</v>
      </c>
      <c r="N454" s="12">
        <f t="shared" si="232"/>
        <v>0</v>
      </c>
      <c r="O454" s="12">
        <f t="shared" si="232"/>
        <v>343980.92</v>
      </c>
      <c r="P454" s="12">
        <f t="shared" si="232"/>
        <v>24980.92</v>
      </c>
      <c r="Q454" s="12">
        <f t="shared" si="232"/>
        <v>0</v>
      </c>
      <c r="R454" s="12">
        <f t="shared" si="232"/>
        <v>0</v>
      </c>
      <c r="S454" s="12">
        <f t="shared" si="232"/>
        <v>319000</v>
      </c>
      <c r="T454" s="12">
        <f t="shared" si="232"/>
        <v>0</v>
      </c>
      <c r="U454" s="12">
        <f t="shared" si="232"/>
        <v>0</v>
      </c>
      <c r="V454" s="12">
        <f t="shared" si="232"/>
        <v>0</v>
      </c>
      <c r="W454" s="12">
        <f t="shared" si="232"/>
        <v>0</v>
      </c>
      <c r="X454" s="12">
        <f t="shared" si="232"/>
        <v>0</v>
      </c>
      <c r="Y454" s="11"/>
      <c r="Z454" s="13"/>
      <c r="AA454" s="13"/>
      <c r="AB454" s="13"/>
      <c r="AC454" s="14"/>
    </row>
    <row r="455" spans="1:29" ht="70.5" customHeight="1" x14ac:dyDescent="0.25">
      <c r="A455" s="15" t="s">
        <v>1087</v>
      </c>
      <c r="B455" s="16" t="s">
        <v>1088</v>
      </c>
      <c r="C455" s="17"/>
      <c r="D455" s="17" t="s">
        <v>204</v>
      </c>
      <c r="E455" s="18">
        <f t="shared" ref="E455:X455" si="233">E456+E458</f>
        <v>344000</v>
      </c>
      <c r="F455" s="18">
        <f t="shared" si="233"/>
        <v>25000</v>
      </c>
      <c r="G455" s="18">
        <f t="shared" si="233"/>
        <v>0</v>
      </c>
      <c r="H455" s="18">
        <f t="shared" si="233"/>
        <v>0</v>
      </c>
      <c r="I455" s="18">
        <f t="shared" si="233"/>
        <v>319000</v>
      </c>
      <c r="J455" s="18">
        <f t="shared" si="233"/>
        <v>0</v>
      </c>
      <c r="K455" s="18">
        <f t="shared" si="233"/>
        <v>0</v>
      </c>
      <c r="L455" s="18">
        <f t="shared" si="233"/>
        <v>0</v>
      </c>
      <c r="M455" s="18">
        <f t="shared" si="233"/>
        <v>0</v>
      </c>
      <c r="N455" s="18">
        <f t="shared" si="233"/>
        <v>0</v>
      </c>
      <c r="O455" s="18">
        <f t="shared" si="233"/>
        <v>343980.92</v>
      </c>
      <c r="P455" s="18">
        <f t="shared" si="233"/>
        <v>24980.92</v>
      </c>
      <c r="Q455" s="18">
        <f t="shared" si="233"/>
        <v>0</v>
      </c>
      <c r="R455" s="18">
        <f t="shared" si="233"/>
        <v>0</v>
      </c>
      <c r="S455" s="18">
        <f t="shared" si="233"/>
        <v>319000</v>
      </c>
      <c r="T455" s="18">
        <f t="shared" si="233"/>
        <v>0</v>
      </c>
      <c r="U455" s="18">
        <f t="shared" si="233"/>
        <v>0</v>
      </c>
      <c r="V455" s="18">
        <f t="shared" si="233"/>
        <v>0</v>
      </c>
      <c r="W455" s="18">
        <f t="shared" si="233"/>
        <v>0</v>
      </c>
      <c r="X455" s="18">
        <f t="shared" si="233"/>
        <v>0</v>
      </c>
      <c r="Y455" s="17"/>
      <c r="Z455" s="19"/>
      <c r="AA455" s="19"/>
      <c r="AB455" s="19"/>
      <c r="AC455" s="20"/>
    </row>
    <row r="456" spans="1:29" ht="54" customHeight="1" x14ac:dyDescent="0.25">
      <c r="A456" s="21" t="s">
        <v>1089</v>
      </c>
      <c r="B456" s="22" t="s">
        <v>1090</v>
      </c>
      <c r="C456" s="23"/>
      <c r="D456" s="23" t="s">
        <v>204</v>
      </c>
      <c r="E456" s="24">
        <f>SUM(E457:E457)+319000</f>
        <v>319000</v>
      </c>
      <c r="F456" s="24">
        <f>SUM(F457:F457)</f>
        <v>0</v>
      </c>
      <c r="G456" s="24">
        <f>SUM(G457:G457)</f>
        <v>0</v>
      </c>
      <c r="H456" s="24">
        <f>SUM(H457:H457)</f>
        <v>0</v>
      </c>
      <c r="I456" s="24">
        <f>SUM(I457:I457)+319000</f>
        <v>319000</v>
      </c>
      <c r="J456" s="24">
        <f>SUM(J457:J457)</f>
        <v>0</v>
      </c>
      <c r="K456" s="24">
        <f>SUM(K457:K457)</f>
        <v>0</v>
      </c>
      <c r="L456" s="24">
        <f>SUM(L457:L457)</f>
        <v>0</v>
      </c>
      <c r="M456" s="24">
        <f>SUM(M457:M457)</f>
        <v>0</v>
      </c>
      <c r="N456" s="24">
        <f>SUM(N457:N457)</f>
        <v>0</v>
      </c>
      <c r="O456" s="24">
        <f>SUM(O457:O457)+319000</f>
        <v>319000</v>
      </c>
      <c r="P456" s="24">
        <f>SUM(P457:P457)</f>
        <v>0</v>
      </c>
      <c r="Q456" s="24">
        <f>SUM(Q457:Q457)</f>
        <v>0</v>
      </c>
      <c r="R456" s="24">
        <f>SUM(R457:R457)</f>
        <v>0</v>
      </c>
      <c r="S456" s="24">
        <f>SUM(S457:S457)+319000</f>
        <v>319000</v>
      </c>
      <c r="T456" s="24">
        <f>SUM(T457:T457)</f>
        <v>0</v>
      </c>
      <c r="U456" s="24">
        <f>SUM(U457:U457)</f>
        <v>0</v>
      </c>
      <c r="V456" s="24">
        <f>SUM(V457:V457)</f>
        <v>0</v>
      </c>
      <c r="W456" s="24">
        <f>SUM(W457:W457)</f>
        <v>0</v>
      </c>
      <c r="X456" s="24">
        <f>SUM(X457:X457)</f>
        <v>0</v>
      </c>
      <c r="Y456" s="23" t="s">
        <v>318</v>
      </c>
      <c r="Z456" s="25" t="s">
        <v>304</v>
      </c>
      <c r="AA456" s="25" t="s">
        <v>292</v>
      </c>
      <c r="AB456" s="25" t="s">
        <v>1091</v>
      </c>
      <c r="AC456" s="26" t="s">
        <v>1092</v>
      </c>
    </row>
    <row r="457" spans="1:29" ht="88.5" customHeight="1" x14ac:dyDescent="0.25">
      <c r="A457" s="21" t="s">
        <v>1093</v>
      </c>
      <c r="B457" s="22" t="s">
        <v>1094</v>
      </c>
      <c r="C457" s="23"/>
      <c r="D457" s="23" t="s">
        <v>204</v>
      </c>
      <c r="E457" s="27">
        <v>0</v>
      </c>
      <c r="F457" s="27">
        <v>0</v>
      </c>
      <c r="G457" s="27">
        <v>0</v>
      </c>
      <c r="H457" s="27">
        <v>0</v>
      </c>
      <c r="I457" s="27">
        <v>0</v>
      </c>
      <c r="J457" s="27">
        <v>0</v>
      </c>
      <c r="K457" s="27">
        <v>0</v>
      </c>
      <c r="L457" s="27">
        <v>0</v>
      </c>
      <c r="M457" s="27">
        <v>0</v>
      </c>
      <c r="N457" s="27">
        <v>0</v>
      </c>
      <c r="O457" s="27">
        <v>0</v>
      </c>
      <c r="P457" s="27">
        <v>0</v>
      </c>
      <c r="Q457" s="27">
        <v>0</v>
      </c>
      <c r="R457" s="27">
        <v>0</v>
      </c>
      <c r="S457" s="27">
        <v>0</v>
      </c>
      <c r="T457" s="27">
        <v>0</v>
      </c>
      <c r="U457" s="27">
        <v>0</v>
      </c>
      <c r="V457" s="27">
        <v>0</v>
      </c>
      <c r="W457" s="27">
        <v>0</v>
      </c>
      <c r="X457" s="27">
        <v>0</v>
      </c>
      <c r="Y457" s="23"/>
      <c r="Z457" s="25"/>
      <c r="AA457" s="25"/>
      <c r="AB457" s="25"/>
      <c r="AC457" s="26"/>
    </row>
    <row r="458" spans="1:29" ht="51.75" customHeight="1" x14ac:dyDescent="0.25">
      <c r="A458" s="21" t="s">
        <v>1095</v>
      </c>
      <c r="B458" s="22" t="s">
        <v>1096</v>
      </c>
      <c r="C458" s="23"/>
      <c r="D458" s="23" t="s">
        <v>204</v>
      </c>
      <c r="E458" s="24">
        <f>SUM(E459:E459)+25000</f>
        <v>25000</v>
      </c>
      <c r="F458" s="24">
        <f>SUM(F459:F459)+25000</f>
        <v>25000</v>
      </c>
      <c r="G458" s="24">
        <f t="shared" ref="G458:N458" si="234">SUM(G459:G459)</f>
        <v>0</v>
      </c>
      <c r="H458" s="24">
        <f t="shared" si="234"/>
        <v>0</v>
      </c>
      <c r="I458" s="24">
        <f t="shared" si="234"/>
        <v>0</v>
      </c>
      <c r="J458" s="24">
        <f t="shared" si="234"/>
        <v>0</v>
      </c>
      <c r="K458" s="24">
        <f t="shared" si="234"/>
        <v>0</v>
      </c>
      <c r="L458" s="24">
        <f t="shared" si="234"/>
        <v>0</v>
      </c>
      <c r="M458" s="24">
        <f t="shared" si="234"/>
        <v>0</v>
      </c>
      <c r="N458" s="24">
        <f t="shared" si="234"/>
        <v>0</v>
      </c>
      <c r="O458" s="24">
        <f>SUM(O459:O459)+24980.92</f>
        <v>24980.92</v>
      </c>
      <c r="P458" s="24">
        <f>SUM(P459:P459)+24980.92</f>
        <v>24980.92</v>
      </c>
      <c r="Q458" s="24">
        <f t="shared" ref="Q458:X458" si="235">SUM(Q459:Q459)</f>
        <v>0</v>
      </c>
      <c r="R458" s="24">
        <f t="shared" si="235"/>
        <v>0</v>
      </c>
      <c r="S458" s="24">
        <f t="shared" si="235"/>
        <v>0</v>
      </c>
      <c r="T458" s="24">
        <f t="shared" si="235"/>
        <v>0</v>
      </c>
      <c r="U458" s="24">
        <f t="shared" si="235"/>
        <v>0</v>
      </c>
      <c r="V458" s="24">
        <f t="shared" si="235"/>
        <v>0</v>
      </c>
      <c r="W458" s="24">
        <f t="shared" si="235"/>
        <v>0</v>
      </c>
      <c r="X458" s="24">
        <f t="shared" si="235"/>
        <v>0</v>
      </c>
      <c r="Y458" s="23" t="s">
        <v>1097</v>
      </c>
      <c r="Z458" s="25" t="s">
        <v>34</v>
      </c>
      <c r="AA458" s="25" t="s">
        <v>42</v>
      </c>
      <c r="AB458" s="25" t="s">
        <v>159</v>
      </c>
      <c r="AC458" s="26" t="s">
        <v>1098</v>
      </c>
    </row>
    <row r="459" spans="1:29" ht="84.75" customHeight="1" x14ac:dyDescent="0.25">
      <c r="A459" s="21" t="s">
        <v>1099</v>
      </c>
      <c r="B459" s="22" t="s">
        <v>1100</v>
      </c>
      <c r="C459" s="23"/>
      <c r="D459" s="23" t="s">
        <v>204</v>
      </c>
      <c r="E459" s="27">
        <v>0</v>
      </c>
      <c r="F459" s="27">
        <v>0</v>
      </c>
      <c r="G459" s="27">
        <v>0</v>
      </c>
      <c r="H459" s="27">
        <v>0</v>
      </c>
      <c r="I459" s="27">
        <v>0</v>
      </c>
      <c r="J459" s="27">
        <v>0</v>
      </c>
      <c r="K459" s="27">
        <v>0</v>
      </c>
      <c r="L459" s="27">
        <v>0</v>
      </c>
      <c r="M459" s="27">
        <v>0</v>
      </c>
      <c r="N459" s="27">
        <v>0</v>
      </c>
      <c r="O459" s="27">
        <v>0</v>
      </c>
      <c r="P459" s="27">
        <v>0</v>
      </c>
      <c r="Q459" s="27">
        <v>0</v>
      </c>
      <c r="R459" s="27">
        <v>0</v>
      </c>
      <c r="S459" s="27">
        <v>0</v>
      </c>
      <c r="T459" s="27">
        <v>0</v>
      </c>
      <c r="U459" s="27">
        <v>0</v>
      </c>
      <c r="V459" s="27">
        <v>0</v>
      </c>
      <c r="W459" s="27">
        <v>0</v>
      </c>
      <c r="X459" s="27">
        <v>0</v>
      </c>
      <c r="Y459" s="23"/>
      <c r="Z459" s="25"/>
      <c r="AA459" s="25"/>
      <c r="AB459" s="25"/>
      <c r="AC459" s="26"/>
    </row>
    <row r="460" spans="1:29" ht="51.75" customHeight="1" x14ac:dyDescent="0.25">
      <c r="A460" s="9" t="s">
        <v>1101</v>
      </c>
      <c r="B460" s="10" t="s">
        <v>1102</v>
      </c>
      <c r="C460" s="11"/>
      <c r="D460" s="11" t="s">
        <v>1103</v>
      </c>
      <c r="E460" s="12">
        <f t="shared" ref="E460:X460" si="236">E461+E464</f>
        <v>4859</v>
      </c>
      <c r="F460" s="12">
        <f t="shared" si="236"/>
        <v>4859</v>
      </c>
      <c r="G460" s="12">
        <f t="shared" si="236"/>
        <v>0</v>
      </c>
      <c r="H460" s="12">
        <f t="shared" si="236"/>
        <v>0</v>
      </c>
      <c r="I460" s="12">
        <f t="shared" si="236"/>
        <v>0</v>
      </c>
      <c r="J460" s="12">
        <f t="shared" si="236"/>
        <v>0</v>
      </c>
      <c r="K460" s="12">
        <f t="shared" si="236"/>
        <v>0</v>
      </c>
      <c r="L460" s="12">
        <f t="shared" si="236"/>
        <v>0</v>
      </c>
      <c r="M460" s="12">
        <f t="shared" si="236"/>
        <v>0</v>
      </c>
      <c r="N460" s="12">
        <f t="shared" si="236"/>
        <v>0</v>
      </c>
      <c r="O460" s="12">
        <f t="shared" si="236"/>
        <v>4858.4400000000005</v>
      </c>
      <c r="P460" s="12">
        <f t="shared" si="236"/>
        <v>4858.4400000000005</v>
      </c>
      <c r="Q460" s="12">
        <f t="shared" si="236"/>
        <v>0</v>
      </c>
      <c r="R460" s="12">
        <f t="shared" si="236"/>
        <v>0</v>
      </c>
      <c r="S460" s="12">
        <f t="shared" si="236"/>
        <v>0</v>
      </c>
      <c r="T460" s="12">
        <f t="shared" si="236"/>
        <v>0</v>
      </c>
      <c r="U460" s="12">
        <f t="shared" si="236"/>
        <v>0</v>
      </c>
      <c r="V460" s="12">
        <f t="shared" si="236"/>
        <v>0</v>
      </c>
      <c r="W460" s="12">
        <f t="shared" si="236"/>
        <v>0</v>
      </c>
      <c r="X460" s="12">
        <f t="shared" si="236"/>
        <v>0</v>
      </c>
      <c r="Y460" s="11"/>
      <c r="Z460" s="13"/>
      <c r="AA460" s="13"/>
      <c r="AB460" s="13"/>
      <c r="AC460" s="14"/>
    </row>
    <row r="461" spans="1:29" ht="81" x14ac:dyDescent="0.25">
      <c r="A461" s="15" t="s">
        <v>1104</v>
      </c>
      <c r="B461" s="16" t="s">
        <v>1105</v>
      </c>
      <c r="C461" s="17"/>
      <c r="D461" s="17" t="s">
        <v>1103</v>
      </c>
      <c r="E461" s="18">
        <f t="shared" ref="E461:X461" si="237">SUM(E462:E462)</f>
        <v>1000</v>
      </c>
      <c r="F461" s="18">
        <f t="shared" si="237"/>
        <v>1000</v>
      </c>
      <c r="G461" s="18">
        <f t="shared" si="237"/>
        <v>0</v>
      </c>
      <c r="H461" s="18">
        <f t="shared" si="237"/>
        <v>0</v>
      </c>
      <c r="I461" s="18">
        <f t="shared" si="237"/>
        <v>0</v>
      </c>
      <c r="J461" s="18">
        <f t="shared" si="237"/>
        <v>0</v>
      </c>
      <c r="K461" s="18">
        <f t="shared" si="237"/>
        <v>0</v>
      </c>
      <c r="L461" s="18">
        <f t="shared" si="237"/>
        <v>0</v>
      </c>
      <c r="M461" s="18">
        <f t="shared" si="237"/>
        <v>0</v>
      </c>
      <c r="N461" s="18">
        <f t="shared" si="237"/>
        <v>0</v>
      </c>
      <c r="O461" s="18">
        <f t="shared" si="237"/>
        <v>1000</v>
      </c>
      <c r="P461" s="18">
        <f t="shared" si="237"/>
        <v>1000</v>
      </c>
      <c r="Q461" s="18">
        <f t="shared" si="237"/>
        <v>0</v>
      </c>
      <c r="R461" s="18">
        <f t="shared" si="237"/>
        <v>0</v>
      </c>
      <c r="S461" s="18">
        <f t="shared" si="237"/>
        <v>0</v>
      </c>
      <c r="T461" s="18">
        <f t="shared" si="237"/>
        <v>0</v>
      </c>
      <c r="U461" s="18">
        <f t="shared" si="237"/>
        <v>0</v>
      </c>
      <c r="V461" s="18">
        <f t="shared" si="237"/>
        <v>0</v>
      </c>
      <c r="W461" s="18">
        <f t="shared" si="237"/>
        <v>0</v>
      </c>
      <c r="X461" s="18">
        <f t="shared" si="237"/>
        <v>0</v>
      </c>
      <c r="Y461" s="17"/>
      <c r="Z461" s="19"/>
      <c r="AA461" s="19"/>
      <c r="AB461" s="19"/>
      <c r="AC461" s="20"/>
    </row>
    <row r="462" spans="1:29" ht="79.5" customHeight="1" x14ac:dyDescent="0.25">
      <c r="A462" s="21" t="s">
        <v>1106</v>
      </c>
      <c r="B462" s="22" t="s">
        <v>1107</v>
      </c>
      <c r="C462" s="23" t="s">
        <v>311</v>
      </c>
      <c r="D462" s="23" t="s">
        <v>1103</v>
      </c>
      <c r="E462" s="24">
        <f>SUM(E463:E463)+1000</f>
        <v>1000</v>
      </c>
      <c r="F462" s="24">
        <f>SUM(F463:F463)+1000</f>
        <v>1000</v>
      </c>
      <c r="G462" s="24">
        <f t="shared" ref="G462:N462" si="238">SUM(G463:G463)</f>
        <v>0</v>
      </c>
      <c r="H462" s="24">
        <f t="shared" si="238"/>
        <v>0</v>
      </c>
      <c r="I462" s="24">
        <f t="shared" si="238"/>
        <v>0</v>
      </c>
      <c r="J462" s="24">
        <f t="shared" si="238"/>
        <v>0</v>
      </c>
      <c r="K462" s="24">
        <f t="shared" si="238"/>
        <v>0</v>
      </c>
      <c r="L462" s="24">
        <f t="shared" si="238"/>
        <v>0</v>
      </c>
      <c r="M462" s="24">
        <f t="shared" si="238"/>
        <v>0</v>
      </c>
      <c r="N462" s="24">
        <f t="shared" si="238"/>
        <v>0</v>
      </c>
      <c r="O462" s="24">
        <f>SUM(O463:O463)+1000</f>
        <v>1000</v>
      </c>
      <c r="P462" s="24">
        <f>SUM(P463:P463)+1000</f>
        <v>1000</v>
      </c>
      <c r="Q462" s="24">
        <f t="shared" ref="Q462:X462" si="239">SUM(Q463:Q463)</f>
        <v>0</v>
      </c>
      <c r="R462" s="24">
        <f t="shared" si="239"/>
        <v>0</v>
      </c>
      <c r="S462" s="24">
        <f t="shared" si="239"/>
        <v>0</v>
      </c>
      <c r="T462" s="24">
        <f t="shared" si="239"/>
        <v>0</v>
      </c>
      <c r="U462" s="24">
        <f t="shared" si="239"/>
        <v>0</v>
      </c>
      <c r="V462" s="24">
        <f t="shared" si="239"/>
        <v>0</v>
      </c>
      <c r="W462" s="24">
        <f t="shared" si="239"/>
        <v>0</v>
      </c>
      <c r="X462" s="24">
        <f t="shared" si="239"/>
        <v>0</v>
      </c>
      <c r="Y462" s="23" t="s">
        <v>1108</v>
      </c>
      <c r="Z462" s="25" t="s">
        <v>34</v>
      </c>
      <c r="AA462" s="25" t="s">
        <v>42</v>
      </c>
      <c r="AB462" s="25" t="s">
        <v>42</v>
      </c>
      <c r="AC462" s="26" t="s">
        <v>1109</v>
      </c>
    </row>
    <row r="463" spans="1:29" ht="92.25" customHeight="1" x14ac:dyDescent="0.25">
      <c r="A463" s="21" t="s">
        <v>1110</v>
      </c>
      <c r="B463" s="22" t="s">
        <v>1111</v>
      </c>
      <c r="C463" s="23"/>
      <c r="D463" s="23" t="s">
        <v>1103</v>
      </c>
      <c r="E463" s="27">
        <v>0</v>
      </c>
      <c r="F463" s="27">
        <v>0</v>
      </c>
      <c r="G463" s="27">
        <v>0</v>
      </c>
      <c r="H463" s="27">
        <v>0</v>
      </c>
      <c r="I463" s="27">
        <v>0</v>
      </c>
      <c r="J463" s="27">
        <v>0</v>
      </c>
      <c r="K463" s="27">
        <v>0</v>
      </c>
      <c r="L463" s="27">
        <v>0</v>
      </c>
      <c r="M463" s="27">
        <v>0</v>
      </c>
      <c r="N463" s="27">
        <v>0</v>
      </c>
      <c r="O463" s="27">
        <v>0</v>
      </c>
      <c r="P463" s="27">
        <v>0</v>
      </c>
      <c r="Q463" s="27">
        <v>0</v>
      </c>
      <c r="R463" s="27">
        <v>0</v>
      </c>
      <c r="S463" s="27">
        <v>0</v>
      </c>
      <c r="T463" s="27">
        <v>0</v>
      </c>
      <c r="U463" s="27">
        <v>0</v>
      </c>
      <c r="V463" s="27">
        <v>0</v>
      </c>
      <c r="W463" s="27">
        <v>0</v>
      </c>
      <c r="X463" s="27">
        <v>0</v>
      </c>
      <c r="Y463" s="23"/>
      <c r="Z463" s="25"/>
      <c r="AA463" s="25"/>
      <c r="AB463" s="25"/>
      <c r="AC463" s="26"/>
    </row>
    <row r="464" spans="1:29" ht="96" customHeight="1" x14ac:dyDescent="0.25">
      <c r="A464" s="15" t="s">
        <v>1112</v>
      </c>
      <c r="B464" s="16" t="s">
        <v>1113</v>
      </c>
      <c r="C464" s="17"/>
      <c r="D464" s="17" t="s">
        <v>1103</v>
      </c>
      <c r="E464" s="18">
        <f t="shared" ref="E464:X464" si="240">SUM(E465:E465)</f>
        <v>3859</v>
      </c>
      <c r="F464" s="18">
        <f t="shared" si="240"/>
        <v>3859</v>
      </c>
      <c r="G464" s="18">
        <f t="shared" si="240"/>
        <v>0</v>
      </c>
      <c r="H464" s="18">
        <f t="shared" si="240"/>
        <v>0</v>
      </c>
      <c r="I464" s="18">
        <f t="shared" si="240"/>
        <v>0</v>
      </c>
      <c r="J464" s="18">
        <f t="shared" si="240"/>
        <v>0</v>
      </c>
      <c r="K464" s="18">
        <f t="shared" si="240"/>
        <v>0</v>
      </c>
      <c r="L464" s="18">
        <f t="shared" si="240"/>
        <v>0</v>
      </c>
      <c r="M464" s="18">
        <f t="shared" si="240"/>
        <v>0</v>
      </c>
      <c r="N464" s="18">
        <f t="shared" si="240"/>
        <v>0</v>
      </c>
      <c r="O464" s="18">
        <f t="shared" si="240"/>
        <v>3858.44</v>
      </c>
      <c r="P464" s="18">
        <f t="shared" si="240"/>
        <v>3858.44</v>
      </c>
      <c r="Q464" s="18">
        <f t="shared" si="240"/>
        <v>0</v>
      </c>
      <c r="R464" s="18">
        <f t="shared" si="240"/>
        <v>0</v>
      </c>
      <c r="S464" s="18">
        <f t="shared" si="240"/>
        <v>0</v>
      </c>
      <c r="T464" s="18">
        <f t="shared" si="240"/>
        <v>0</v>
      </c>
      <c r="U464" s="18">
        <f t="shared" si="240"/>
        <v>0</v>
      </c>
      <c r="V464" s="18">
        <f t="shared" si="240"/>
        <v>0</v>
      </c>
      <c r="W464" s="18">
        <f t="shared" si="240"/>
        <v>0</v>
      </c>
      <c r="X464" s="18">
        <f t="shared" si="240"/>
        <v>0</v>
      </c>
      <c r="Y464" s="17"/>
      <c r="Z464" s="19"/>
      <c r="AA464" s="19"/>
      <c r="AB464" s="19"/>
      <c r="AC464" s="20"/>
    </row>
    <row r="465" spans="1:29" ht="78" customHeight="1" x14ac:dyDescent="0.25">
      <c r="A465" s="21" t="s">
        <v>1114</v>
      </c>
      <c r="B465" s="22" t="s">
        <v>1115</v>
      </c>
      <c r="C465" s="23" t="s">
        <v>311</v>
      </c>
      <c r="D465" s="23" t="s">
        <v>1103</v>
      </c>
      <c r="E465" s="24">
        <f>SUM(E466:E466)+3859</f>
        <v>3859</v>
      </c>
      <c r="F465" s="24">
        <f>SUM(F466:F466)+3859</f>
        <v>3859</v>
      </c>
      <c r="G465" s="24">
        <f t="shared" ref="G465:N465" si="241">SUM(G466:G466)</f>
        <v>0</v>
      </c>
      <c r="H465" s="24">
        <f t="shared" si="241"/>
        <v>0</v>
      </c>
      <c r="I465" s="24">
        <f t="shared" si="241"/>
        <v>0</v>
      </c>
      <c r="J465" s="24">
        <f t="shared" si="241"/>
        <v>0</v>
      </c>
      <c r="K465" s="24">
        <f t="shared" si="241"/>
        <v>0</v>
      </c>
      <c r="L465" s="24">
        <f t="shared" si="241"/>
        <v>0</v>
      </c>
      <c r="M465" s="24">
        <f t="shared" si="241"/>
        <v>0</v>
      </c>
      <c r="N465" s="24">
        <f t="shared" si="241"/>
        <v>0</v>
      </c>
      <c r="O465" s="24">
        <f>SUM(O466:O466)+3858.44</f>
        <v>3858.44</v>
      </c>
      <c r="P465" s="24">
        <f>SUM(P466:P466)+3858.44</f>
        <v>3858.44</v>
      </c>
      <c r="Q465" s="24">
        <f t="shared" ref="Q465:X465" si="242">SUM(Q466:Q466)</f>
        <v>0</v>
      </c>
      <c r="R465" s="24">
        <f t="shared" si="242"/>
        <v>0</v>
      </c>
      <c r="S465" s="24">
        <f t="shared" si="242"/>
        <v>0</v>
      </c>
      <c r="T465" s="24">
        <f t="shared" si="242"/>
        <v>0</v>
      </c>
      <c r="U465" s="24">
        <f t="shared" si="242"/>
        <v>0</v>
      </c>
      <c r="V465" s="24">
        <f t="shared" si="242"/>
        <v>0</v>
      </c>
      <c r="W465" s="24">
        <f t="shared" si="242"/>
        <v>0</v>
      </c>
      <c r="X465" s="24">
        <f t="shared" si="242"/>
        <v>0</v>
      </c>
      <c r="Y465" s="23" t="s">
        <v>1116</v>
      </c>
      <c r="Z465" s="25" t="s">
        <v>34</v>
      </c>
      <c r="AA465" s="25" t="s">
        <v>1117</v>
      </c>
      <c r="AB465" s="25" t="s">
        <v>1118</v>
      </c>
      <c r="AC465" s="26"/>
    </row>
    <row r="466" spans="1:29" ht="90.75" customHeight="1" x14ac:dyDescent="0.25">
      <c r="A466" s="21" t="s">
        <v>1119</v>
      </c>
      <c r="B466" s="22" t="s">
        <v>1120</v>
      </c>
      <c r="C466" s="23"/>
      <c r="D466" s="23" t="s">
        <v>1121</v>
      </c>
      <c r="E466" s="27">
        <v>0</v>
      </c>
      <c r="F466" s="27">
        <v>0</v>
      </c>
      <c r="G466" s="27">
        <v>0</v>
      </c>
      <c r="H466" s="27">
        <v>0</v>
      </c>
      <c r="I466" s="27">
        <v>0</v>
      </c>
      <c r="J466" s="27">
        <v>0</v>
      </c>
      <c r="K466" s="27">
        <v>0</v>
      </c>
      <c r="L466" s="27">
        <v>0</v>
      </c>
      <c r="M466" s="27">
        <v>0</v>
      </c>
      <c r="N466" s="27">
        <v>0</v>
      </c>
      <c r="O466" s="27">
        <v>0</v>
      </c>
      <c r="P466" s="27">
        <v>0</v>
      </c>
      <c r="Q466" s="27">
        <v>0</v>
      </c>
      <c r="R466" s="27">
        <v>0</v>
      </c>
      <c r="S466" s="27">
        <v>0</v>
      </c>
      <c r="T466" s="27">
        <v>0</v>
      </c>
      <c r="U466" s="27">
        <v>0</v>
      </c>
      <c r="V466" s="27">
        <v>0</v>
      </c>
      <c r="W466" s="27">
        <v>0</v>
      </c>
      <c r="X466" s="27">
        <v>0</v>
      </c>
      <c r="Y466" s="23"/>
      <c r="Z466" s="25"/>
      <c r="AA466" s="25"/>
      <c r="AB466" s="25"/>
      <c r="AC466" s="26"/>
    </row>
    <row r="467" spans="1:29" ht="46.5" customHeight="1" x14ac:dyDescent="0.25">
      <c r="A467" s="9" t="s">
        <v>1122</v>
      </c>
      <c r="B467" s="10" t="s">
        <v>1123</v>
      </c>
      <c r="C467" s="11"/>
      <c r="D467" s="11" t="s">
        <v>1124</v>
      </c>
      <c r="E467" s="12">
        <f t="shared" ref="E467:X467" si="243">E468+E473+E476</f>
        <v>7100</v>
      </c>
      <c r="F467" s="12">
        <f t="shared" si="243"/>
        <v>0</v>
      </c>
      <c r="G467" s="12">
        <f t="shared" si="243"/>
        <v>0</v>
      </c>
      <c r="H467" s="12">
        <f t="shared" si="243"/>
        <v>0</v>
      </c>
      <c r="I467" s="12">
        <f t="shared" si="243"/>
        <v>0</v>
      </c>
      <c r="J467" s="12">
        <f t="shared" si="243"/>
        <v>0</v>
      </c>
      <c r="K467" s="12">
        <f t="shared" si="243"/>
        <v>0</v>
      </c>
      <c r="L467" s="12">
        <f t="shared" si="243"/>
        <v>0</v>
      </c>
      <c r="M467" s="12">
        <f t="shared" si="243"/>
        <v>0</v>
      </c>
      <c r="N467" s="12">
        <f t="shared" si="243"/>
        <v>7100</v>
      </c>
      <c r="O467" s="12">
        <f t="shared" si="243"/>
        <v>5600</v>
      </c>
      <c r="P467" s="12">
        <f t="shared" si="243"/>
        <v>0</v>
      </c>
      <c r="Q467" s="12">
        <f t="shared" si="243"/>
        <v>0</v>
      </c>
      <c r="R467" s="12">
        <f t="shared" si="243"/>
        <v>0</v>
      </c>
      <c r="S467" s="12">
        <f t="shared" si="243"/>
        <v>0</v>
      </c>
      <c r="T467" s="12">
        <f t="shared" si="243"/>
        <v>0</v>
      </c>
      <c r="U467" s="12">
        <f t="shared" si="243"/>
        <v>0</v>
      </c>
      <c r="V467" s="12">
        <f t="shared" si="243"/>
        <v>0</v>
      </c>
      <c r="W467" s="12">
        <f t="shared" si="243"/>
        <v>0</v>
      </c>
      <c r="X467" s="12">
        <f t="shared" si="243"/>
        <v>5600</v>
      </c>
      <c r="Y467" s="11"/>
      <c r="Z467" s="13"/>
      <c r="AA467" s="13"/>
      <c r="AB467" s="13"/>
      <c r="AC467" s="14"/>
    </row>
    <row r="468" spans="1:29" ht="70.5" customHeight="1" x14ac:dyDescent="0.25">
      <c r="A468" s="15" t="s">
        <v>1125</v>
      </c>
      <c r="B468" s="16" t="s">
        <v>1126</v>
      </c>
      <c r="C468" s="17"/>
      <c r="D468" s="17" t="s">
        <v>1124</v>
      </c>
      <c r="E468" s="18">
        <f t="shared" ref="E468:X468" si="244">E469+E471</f>
        <v>3600</v>
      </c>
      <c r="F468" s="18">
        <f t="shared" si="244"/>
        <v>0</v>
      </c>
      <c r="G468" s="18">
        <f t="shared" si="244"/>
        <v>0</v>
      </c>
      <c r="H468" s="18">
        <f t="shared" si="244"/>
        <v>0</v>
      </c>
      <c r="I468" s="18">
        <f t="shared" si="244"/>
        <v>0</v>
      </c>
      <c r="J468" s="18">
        <f t="shared" si="244"/>
        <v>0</v>
      </c>
      <c r="K468" s="18">
        <f t="shared" si="244"/>
        <v>0</v>
      </c>
      <c r="L468" s="18">
        <f t="shared" si="244"/>
        <v>0</v>
      </c>
      <c r="M468" s="18">
        <f t="shared" si="244"/>
        <v>0</v>
      </c>
      <c r="N468" s="18">
        <f t="shared" si="244"/>
        <v>3600</v>
      </c>
      <c r="O468" s="18">
        <f t="shared" si="244"/>
        <v>3600</v>
      </c>
      <c r="P468" s="18">
        <f t="shared" si="244"/>
        <v>0</v>
      </c>
      <c r="Q468" s="18">
        <f t="shared" si="244"/>
        <v>0</v>
      </c>
      <c r="R468" s="18">
        <f t="shared" si="244"/>
        <v>0</v>
      </c>
      <c r="S468" s="18">
        <f t="shared" si="244"/>
        <v>0</v>
      </c>
      <c r="T468" s="18">
        <f t="shared" si="244"/>
        <v>0</v>
      </c>
      <c r="U468" s="18">
        <f t="shared" si="244"/>
        <v>0</v>
      </c>
      <c r="V468" s="18">
        <f t="shared" si="244"/>
        <v>0</v>
      </c>
      <c r="W468" s="18">
        <f t="shared" si="244"/>
        <v>0</v>
      </c>
      <c r="X468" s="18">
        <f t="shared" si="244"/>
        <v>3600</v>
      </c>
      <c r="Y468" s="17"/>
      <c r="Z468" s="19"/>
      <c r="AA468" s="19"/>
      <c r="AB468" s="19"/>
      <c r="AC468" s="20"/>
    </row>
    <row r="469" spans="1:29" ht="78" customHeight="1" x14ac:dyDescent="0.25">
      <c r="A469" s="21" t="s">
        <v>1127</v>
      </c>
      <c r="B469" s="22" t="s">
        <v>1128</v>
      </c>
      <c r="C469" s="23" t="s">
        <v>1129</v>
      </c>
      <c r="D469" s="23" t="s">
        <v>1124</v>
      </c>
      <c r="E469" s="24">
        <f>SUM(E470:E470)+1800</f>
        <v>1800</v>
      </c>
      <c r="F469" s="24">
        <f t="shared" ref="F469:M469" si="245">SUM(F470:F470)</f>
        <v>0</v>
      </c>
      <c r="G469" s="24">
        <f t="shared" si="245"/>
        <v>0</v>
      </c>
      <c r="H469" s="24">
        <f t="shared" si="245"/>
        <v>0</v>
      </c>
      <c r="I469" s="24">
        <f t="shared" si="245"/>
        <v>0</v>
      </c>
      <c r="J469" s="24">
        <f t="shared" si="245"/>
        <v>0</v>
      </c>
      <c r="K469" s="24">
        <f t="shared" si="245"/>
        <v>0</v>
      </c>
      <c r="L469" s="24">
        <f t="shared" si="245"/>
        <v>0</v>
      </c>
      <c r="M469" s="24">
        <f t="shared" si="245"/>
        <v>0</v>
      </c>
      <c r="N469" s="24">
        <f>SUM(N470:N470)+1800</f>
        <v>1800</v>
      </c>
      <c r="O469" s="24">
        <f>SUM(O470:O470)+1800</f>
        <v>1800</v>
      </c>
      <c r="P469" s="24">
        <f t="shared" ref="P469:W469" si="246">SUM(P470:P470)</f>
        <v>0</v>
      </c>
      <c r="Q469" s="24">
        <f t="shared" si="246"/>
        <v>0</v>
      </c>
      <c r="R469" s="24">
        <f t="shared" si="246"/>
        <v>0</v>
      </c>
      <c r="S469" s="24">
        <f t="shared" si="246"/>
        <v>0</v>
      </c>
      <c r="T469" s="24">
        <f t="shared" si="246"/>
        <v>0</v>
      </c>
      <c r="U469" s="24">
        <f t="shared" si="246"/>
        <v>0</v>
      </c>
      <c r="V469" s="24">
        <f t="shared" si="246"/>
        <v>0</v>
      </c>
      <c r="W469" s="24">
        <f t="shared" si="246"/>
        <v>0</v>
      </c>
      <c r="X469" s="24">
        <f>SUM(X470:X470)+1800</f>
        <v>1800</v>
      </c>
      <c r="Y469" s="23" t="s">
        <v>1130</v>
      </c>
      <c r="Z469" s="25" t="s">
        <v>34</v>
      </c>
      <c r="AA469" s="25" t="s">
        <v>159</v>
      </c>
      <c r="AB469" s="25" t="s">
        <v>42</v>
      </c>
      <c r="AC469" s="26" t="s">
        <v>1131</v>
      </c>
    </row>
    <row r="470" spans="1:29" ht="66.75" customHeight="1" x14ac:dyDescent="0.25">
      <c r="A470" s="21" t="s">
        <v>1132</v>
      </c>
      <c r="B470" s="22" t="s">
        <v>1133</v>
      </c>
      <c r="C470" s="23"/>
      <c r="D470" s="23" t="s">
        <v>1124</v>
      </c>
      <c r="E470" s="27">
        <v>0</v>
      </c>
      <c r="F470" s="27">
        <v>0</v>
      </c>
      <c r="G470" s="27">
        <v>0</v>
      </c>
      <c r="H470" s="27">
        <v>0</v>
      </c>
      <c r="I470" s="27">
        <v>0</v>
      </c>
      <c r="J470" s="27">
        <v>0</v>
      </c>
      <c r="K470" s="27">
        <v>0</v>
      </c>
      <c r="L470" s="27">
        <v>0</v>
      </c>
      <c r="M470" s="27">
        <v>0</v>
      </c>
      <c r="N470" s="27">
        <v>0</v>
      </c>
      <c r="O470" s="27">
        <v>0</v>
      </c>
      <c r="P470" s="27">
        <v>0</v>
      </c>
      <c r="Q470" s="27">
        <v>0</v>
      </c>
      <c r="R470" s="27">
        <v>0</v>
      </c>
      <c r="S470" s="27">
        <v>0</v>
      </c>
      <c r="T470" s="27">
        <v>0</v>
      </c>
      <c r="U470" s="27">
        <v>0</v>
      </c>
      <c r="V470" s="27">
        <v>0</v>
      </c>
      <c r="W470" s="27">
        <v>0</v>
      </c>
      <c r="X470" s="27">
        <v>0</v>
      </c>
      <c r="Y470" s="23"/>
      <c r="Z470" s="25"/>
      <c r="AA470" s="25"/>
      <c r="AB470" s="25"/>
      <c r="AC470" s="26"/>
    </row>
    <row r="471" spans="1:29" ht="60.75" x14ac:dyDescent="0.25">
      <c r="A471" s="21" t="s">
        <v>1134</v>
      </c>
      <c r="B471" s="22" t="s">
        <v>1135</v>
      </c>
      <c r="C471" s="23"/>
      <c r="D471" s="23" t="s">
        <v>1124</v>
      </c>
      <c r="E471" s="24">
        <f>SUM(E472:E472)+1800</f>
        <v>1800</v>
      </c>
      <c r="F471" s="24">
        <f t="shared" ref="F471:M471" si="247">SUM(F472:F472)</f>
        <v>0</v>
      </c>
      <c r="G471" s="24">
        <f t="shared" si="247"/>
        <v>0</v>
      </c>
      <c r="H471" s="24">
        <f t="shared" si="247"/>
        <v>0</v>
      </c>
      <c r="I471" s="24">
        <f t="shared" si="247"/>
        <v>0</v>
      </c>
      <c r="J471" s="24">
        <f t="shared" si="247"/>
        <v>0</v>
      </c>
      <c r="K471" s="24">
        <f t="shared" si="247"/>
        <v>0</v>
      </c>
      <c r="L471" s="24">
        <f t="shared" si="247"/>
        <v>0</v>
      </c>
      <c r="M471" s="24">
        <f t="shared" si="247"/>
        <v>0</v>
      </c>
      <c r="N471" s="24">
        <f>SUM(N472:N472)+1800</f>
        <v>1800</v>
      </c>
      <c r="O471" s="24">
        <f>SUM(O472:O472)+1800</f>
        <v>1800</v>
      </c>
      <c r="P471" s="24">
        <f t="shared" ref="P471:W471" si="248">SUM(P472:P472)</f>
        <v>0</v>
      </c>
      <c r="Q471" s="24">
        <f t="shared" si="248"/>
        <v>0</v>
      </c>
      <c r="R471" s="24">
        <f t="shared" si="248"/>
        <v>0</v>
      </c>
      <c r="S471" s="24">
        <f t="shared" si="248"/>
        <v>0</v>
      </c>
      <c r="T471" s="24">
        <f t="shared" si="248"/>
        <v>0</v>
      </c>
      <c r="U471" s="24">
        <f t="shared" si="248"/>
        <v>0</v>
      </c>
      <c r="V471" s="24">
        <f t="shared" si="248"/>
        <v>0</v>
      </c>
      <c r="W471" s="24">
        <f t="shared" si="248"/>
        <v>0</v>
      </c>
      <c r="X471" s="24">
        <f>SUM(X472:X472)+1800</f>
        <v>1800</v>
      </c>
      <c r="Y471" s="23" t="s">
        <v>1136</v>
      </c>
      <c r="Z471" s="25" t="s">
        <v>34</v>
      </c>
      <c r="AA471" s="25" t="s">
        <v>48</v>
      </c>
      <c r="AB471" s="25" t="s">
        <v>42</v>
      </c>
      <c r="AC471" s="26"/>
    </row>
    <row r="472" spans="1:29" ht="83.25" customHeight="1" x14ac:dyDescent="0.25">
      <c r="A472" s="21" t="s">
        <v>1137</v>
      </c>
      <c r="B472" s="22" t="s">
        <v>1138</v>
      </c>
      <c r="C472" s="23"/>
      <c r="D472" s="23" t="s">
        <v>1124</v>
      </c>
      <c r="E472" s="27">
        <v>0</v>
      </c>
      <c r="F472" s="27">
        <v>0</v>
      </c>
      <c r="G472" s="27">
        <v>0</v>
      </c>
      <c r="H472" s="27">
        <v>0</v>
      </c>
      <c r="I472" s="27">
        <v>0</v>
      </c>
      <c r="J472" s="27">
        <v>0</v>
      </c>
      <c r="K472" s="27">
        <v>0</v>
      </c>
      <c r="L472" s="27">
        <v>0</v>
      </c>
      <c r="M472" s="27">
        <v>0</v>
      </c>
      <c r="N472" s="27">
        <v>0</v>
      </c>
      <c r="O472" s="27">
        <v>0</v>
      </c>
      <c r="P472" s="27">
        <v>0</v>
      </c>
      <c r="Q472" s="27">
        <v>0</v>
      </c>
      <c r="R472" s="27">
        <v>0</v>
      </c>
      <c r="S472" s="27">
        <v>0</v>
      </c>
      <c r="T472" s="27">
        <v>0</v>
      </c>
      <c r="U472" s="27">
        <v>0</v>
      </c>
      <c r="V472" s="27">
        <v>0</v>
      </c>
      <c r="W472" s="27">
        <v>0</v>
      </c>
      <c r="X472" s="27">
        <v>0</v>
      </c>
      <c r="Y472" s="23"/>
      <c r="Z472" s="25"/>
      <c r="AA472" s="25"/>
      <c r="AB472" s="25"/>
      <c r="AC472" s="26"/>
    </row>
    <row r="473" spans="1:29" ht="83.25" customHeight="1" x14ac:dyDescent="0.25">
      <c r="A473" s="15" t="s">
        <v>1139</v>
      </c>
      <c r="B473" s="16" t="s">
        <v>1140</v>
      </c>
      <c r="C473" s="17"/>
      <c r="D473" s="17" t="s">
        <v>1124</v>
      </c>
      <c r="E473" s="18">
        <f t="shared" ref="E473:X473" si="249">SUM(E474:E474)</f>
        <v>2000</v>
      </c>
      <c r="F473" s="18">
        <f t="shared" si="249"/>
        <v>0</v>
      </c>
      <c r="G473" s="18">
        <f t="shared" si="249"/>
        <v>0</v>
      </c>
      <c r="H473" s="18">
        <f t="shared" si="249"/>
        <v>0</v>
      </c>
      <c r="I473" s="18">
        <f t="shared" si="249"/>
        <v>0</v>
      </c>
      <c r="J473" s="18">
        <f t="shared" si="249"/>
        <v>0</v>
      </c>
      <c r="K473" s="18">
        <f t="shared" si="249"/>
        <v>0</v>
      </c>
      <c r="L473" s="18">
        <f t="shared" si="249"/>
        <v>0</v>
      </c>
      <c r="M473" s="18">
        <f t="shared" si="249"/>
        <v>0</v>
      </c>
      <c r="N473" s="18">
        <f t="shared" si="249"/>
        <v>2000</v>
      </c>
      <c r="O473" s="18">
        <f t="shared" si="249"/>
        <v>2000</v>
      </c>
      <c r="P473" s="18">
        <f t="shared" si="249"/>
        <v>0</v>
      </c>
      <c r="Q473" s="18">
        <f t="shared" si="249"/>
        <v>0</v>
      </c>
      <c r="R473" s="18">
        <f t="shared" si="249"/>
        <v>0</v>
      </c>
      <c r="S473" s="18">
        <f t="shared" si="249"/>
        <v>0</v>
      </c>
      <c r="T473" s="18">
        <f t="shared" si="249"/>
        <v>0</v>
      </c>
      <c r="U473" s="18">
        <f t="shared" si="249"/>
        <v>0</v>
      </c>
      <c r="V473" s="18">
        <f t="shared" si="249"/>
        <v>0</v>
      </c>
      <c r="W473" s="18">
        <f t="shared" si="249"/>
        <v>0</v>
      </c>
      <c r="X473" s="18">
        <f t="shared" si="249"/>
        <v>2000</v>
      </c>
      <c r="Y473" s="17"/>
      <c r="Z473" s="19"/>
      <c r="AA473" s="19"/>
      <c r="AB473" s="19"/>
      <c r="AC473" s="20"/>
    </row>
    <row r="474" spans="1:29" ht="76.5" customHeight="1" x14ac:dyDescent="0.25">
      <c r="A474" s="21" t="s">
        <v>1141</v>
      </c>
      <c r="B474" s="22" t="s">
        <v>1142</v>
      </c>
      <c r="C474" s="23"/>
      <c r="D474" s="23" t="s">
        <v>1124</v>
      </c>
      <c r="E474" s="24">
        <f>SUM(E475:E475)+2000</f>
        <v>2000</v>
      </c>
      <c r="F474" s="24">
        <f t="shared" ref="F474:M474" si="250">SUM(F475:F475)</f>
        <v>0</v>
      </c>
      <c r="G474" s="24">
        <f t="shared" si="250"/>
        <v>0</v>
      </c>
      <c r="H474" s="24">
        <f t="shared" si="250"/>
        <v>0</v>
      </c>
      <c r="I474" s="24">
        <f t="shared" si="250"/>
        <v>0</v>
      </c>
      <c r="J474" s="24">
        <f t="shared" si="250"/>
        <v>0</v>
      </c>
      <c r="K474" s="24">
        <f t="shared" si="250"/>
        <v>0</v>
      </c>
      <c r="L474" s="24">
        <f t="shared" si="250"/>
        <v>0</v>
      </c>
      <c r="M474" s="24">
        <f t="shared" si="250"/>
        <v>0</v>
      </c>
      <c r="N474" s="24">
        <f>SUM(N475:N475)+2000</f>
        <v>2000</v>
      </c>
      <c r="O474" s="24">
        <f>SUM(O475:O475)+2000</f>
        <v>2000</v>
      </c>
      <c r="P474" s="24">
        <f t="shared" ref="P474:W474" si="251">SUM(P475:P475)</f>
        <v>0</v>
      </c>
      <c r="Q474" s="24">
        <f t="shared" si="251"/>
        <v>0</v>
      </c>
      <c r="R474" s="24">
        <f t="shared" si="251"/>
        <v>0</v>
      </c>
      <c r="S474" s="24">
        <f t="shared" si="251"/>
        <v>0</v>
      </c>
      <c r="T474" s="24">
        <f t="shared" si="251"/>
        <v>0</v>
      </c>
      <c r="U474" s="24">
        <f t="shared" si="251"/>
        <v>0</v>
      </c>
      <c r="V474" s="24">
        <f t="shared" si="251"/>
        <v>0</v>
      </c>
      <c r="W474" s="24">
        <f t="shared" si="251"/>
        <v>0</v>
      </c>
      <c r="X474" s="24">
        <f>SUM(X475:X475)+2000</f>
        <v>2000</v>
      </c>
      <c r="Y474" s="23" t="s">
        <v>1143</v>
      </c>
      <c r="Z474" s="25" t="s">
        <v>34</v>
      </c>
      <c r="AA474" s="25" t="s">
        <v>48</v>
      </c>
      <c r="AB474" s="25" t="s">
        <v>1144</v>
      </c>
      <c r="AC474" s="26"/>
    </row>
    <row r="475" spans="1:29" ht="74.25" customHeight="1" x14ac:dyDescent="0.25">
      <c r="A475" s="21" t="s">
        <v>1145</v>
      </c>
      <c r="B475" s="22" t="s">
        <v>1146</v>
      </c>
      <c r="C475" s="23"/>
      <c r="D475" s="23" t="s">
        <v>1124</v>
      </c>
      <c r="E475" s="27">
        <v>0</v>
      </c>
      <c r="F475" s="27">
        <v>0</v>
      </c>
      <c r="G475" s="27">
        <v>0</v>
      </c>
      <c r="H475" s="27">
        <v>0</v>
      </c>
      <c r="I475" s="27">
        <v>0</v>
      </c>
      <c r="J475" s="27">
        <v>0</v>
      </c>
      <c r="K475" s="27">
        <v>0</v>
      </c>
      <c r="L475" s="27">
        <v>0</v>
      </c>
      <c r="M475" s="27">
        <v>0</v>
      </c>
      <c r="N475" s="27">
        <v>0</v>
      </c>
      <c r="O475" s="27">
        <v>0</v>
      </c>
      <c r="P475" s="27">
        <v>0</v>
      </c>
      <c r="Q475" s="27">
        <v>0</v>
      </c>
      <c r="R475" s="27">
        <v>0</v>
      </c>
      <c r="S475" s="27">
        <v>0</v>
      </c>
      <c r="T475" s="27">
        <v>0</v>
      </c>
      <c r="U475" s="27">
        <v>0</v>
      </c>
      <c r="V475" s="27">
        <v>0</v>
      </c>
      <c r="W475" s="27">
        <v>0</v>
      </c>
      <c r="X475" s="27">
        <v>0</v>
      </c>
      <c r="Y475" s="23"/>
      <c r="Z475" s="25"/>
      <c r="AA475" s="25"/>
      <c r="AB475" s="25"/>
      <c r="AC475" s="26"/>
    </row>
    <row r="476" spans="1:29" ht="118.5" customHeight="1" x14ac:dyDescent="0.25">
      <c r="A476" s="15" t="s">
        <v>1147</v>
      </c>
      <c r="B476" s="16" t="s">
        <v>1148</v>
      </c>
      <c r="C476" s="17"/>
      <c r="D476" s="17" t="s">
        <v>1124</v>
      </c>
      <c r="E476" s="18">
        <f t="shared" ref="E476:X476" si="252">SUM(E477:E477)</f>
        <v>1500</v>
      </c>
      <c r="F476" s="18">
        <f t="shared" si="252"/>
        <v>0</v>
      </c>
      <c r="G476" s="18">
        <f t="shared" si="252"/>
        <v>0</v>
      </c>
      <c r="H476" s="18">
        <f t="shared" si="252"/>
        <v>0</v>
      </c>
      <c r="I476" s="18">
        <f t="shared" si="252"/>
        <v>0</v>
      </c>
      <c r="J476" s="18">
        <f t="shared" si="252"/>
        <v>0</v>
      </c>
      <c r="K476" s="18">
        <f t="shared" si="252"/>
        <v>0</v>
      </c>
      <c r="L476" s="18">
        <f t="shared" si="252"/>
        <v>0</v>
      </c>
      <c r="M476" s="18">
        <f t="shared" si="252"/>
        <v>0</v>
      </c>
      <c r="N476" s="18">
        <f t="shared" si="252"/>
        <v>1500</v>
      </c>
      <c r="O476" s="18">
        <f t="shared" si="252"/>
        <v>0</v>
      </c>
      <c r="P476" s="18">
        <f t="shared" si="252"/>
        <v>0</v>
      </c>
      <c r="Q476" s="18">
        <f t="shared" si="252"/>
        <v>0</v>
      </c>
      <c r="R476" s="18">
        <f t="shared" si="252"/>
        <v>0</v>
      </c>
      <c r="S476" s="18">
        <f t="shared" si="252"/>
        <v>0</v>
      </c>
      <c r="T476" s="18">
        <f t="shared" si="252"/>
        <v>0</v>
      </c>
      <c r="U476" s="18">
        <f t="shared" si="252"/>
        <v>0</v>
      </c>
      <c r="V476" s="18">
        <f t="shared" si="252"/>
        <v>0</v>
      </c>
      <c r="W476" s="18">
        <f t="shared" si="252"/>
        <v>0</v>
      </c>
      <c r="X476" s="18">
        <f t="shared" si="252"/>
        <v>0</v>
      </c>
      <c r="Y476" s="17"/>
      <c r="Z476" s="19"/>
      <c r="AA476" s="19"/>
      <c r="AB476" s="19"/>
      <c r="AC476" s="20"/>
    </row>
    <row r="477" spans="1:29" ht="98.25" customHeight="1" x14ac:dyDescent="0.25">
      <c r="A477" s="21" t="s">
        <v>1149</v>
      </c>
      <c r="B477" s="22" t="s">
        <v>1150</v>
      </c>
      <c r="C477" s="23"/>
      <c r="D477" s="23" t="s">
        <v>1124</v>
      </c>
      <c r="E477" s="24">
        <f>SUM(E478:E478)+1500</f>
        <v>1500</v>
      </c>
      <c r="F477" s="24">
        <f t="shared" ref="F477:M477" si="253">SUM(F478:F478)</f>
        <v>0</v>
      </c>
      <c r="G477" s="24">
        <f t="shared" si="253"/>
        <v>0</v>
      </c>
      <c r="H477" s="24">
        <f t="shared" si="253"/>
        <v>0</v>
      </c>
      <c r="I477" s="24">
        <f t="shared" si="253"/>
        <v>0</v>
      </c>
      <c r="J477" s="24">
        <f t="shared" si="253"/>
        <v>0</v>
      </c>
      <c r="K477" s="24">
        <f t="shared" si="253"/>
        <v>0</v>
      </c>
      <c r="L477" s="24">
        <f t="shared" si="253"/>
        <v>0</v>
      </c>
      <c r="M477" s="24">
        <f t="shared" si="253"/>
        <v>0</v>
      </c>
      <c r="N477" s="24">
        <f>SUM(N478:N478)+1500</f>
        <v>1500</v>
      </c>
      <c r="O477" s="24">
        <f t="shared" ref="O477:X477" si="254">SUM(O478:O478)</f>
        <v>0</v>
      </c>
      <c r="P477" s="24">
        <f t="shared" si="254"/>
        <v>0</v>
      </c>
      <c r="Q477" s="24">
        <f t="shared" si="254"/>
        <v>0</v>
      </c>
      <c r="R477" s="24">
        <f t="shared" si="254"/>
        <v>0</v>
      </c>
      <c r="S477" s="24">
        <f t="shared" si="254"/>
        <v>0</v>
      </c>
      <c r="T477" s="24">
        <f t="shared" si="254"/>
        <v>0</v>
      </c>
      <c r="U477" s="24">
        <f t="shared" si="254"/>
        <v>0</v>
      </c>
      <c r="V477" s="24">
        <f t="shared" si="254"/>
        <v>0</v>
      </c>
      <c r="W477" s="24">
        <f t="shared" si="254"/>
        <v>0</v>
      </c>
      <c r="X477" s="24">
        <f t="shared" si="254"/>
        <v>0</v>
      </c>
      <c r="Y477" s="23" t="s">
        <v>1151</v>
      </c>
      <c r="Z477" s="25" t="s">
        <v>34</v>
      </c>
      <c r="AA477" s="25" t="s">
        <v>42</v>
      </c>
      <c r="AB477" s="25" t="s">
        <v>48</v>
      </c>
      <c r="AC477" s="26" t="s">
        <v>1152</v>
      </c>
    </row>
    <row r="478" spans="1:29" ht="78" customHeight="1" x14ac:dyDescent="0.25">
      <c r="A478" s="21" t="s">
        <v>1153</v>
      </c>
      <c r="B478" s="22" t="s">
        <v>1154</v>
      </c>
      <c r="C478" s="23"/>
      <c r="D478" s="23" t="s">
        <v>1124</v>
      </c>
      <c r="E478" s="27">
        <v>0</v>
      </c>
      <c r="F478" s="27">
        <v>0</v>
      </c>
      <c r="G478" s="27">
        <v>0</v>
      </c>
      <c r="H478" s="27">
        <v>0</v>
      </c>
      <c r="I478" s="27">
        <v>0</v>
      </c>
      <c r="J478" s="27">
        <v>0</v>
      </c>
      <c r="K478" s="27">
        <v>0</v>
      </c>
      <c r="L478" s="27">
        <v>0</v>
      </c>
      <c r="M478" s="27">
        <v>0</v>
      </c>
      <c r="N478" s="27">
        <v>0</v>
      </c>
      <c r="O478" s="27">
        <v>0</v>
      </c>
      <c r="P478" s="27">
        <v>0</v>
      </c>
      <c r="Q478" s="27">
        <v>0</v>
      </c>
      <c r="R478" s="27">
        <v>0</v>
      </c>
      <c r="S478" s="27">
        <v>0</v>
      </c>
      <c r="T478" s="27">
        <v>0</v>
      </c>
      <c r="U478" s="27">
        <v>0</v>
      </c>
      <c r="V478" s="27">
        <v>0</v>
      </c>
      <c r="W478" s="27">
        <v>0</v>
      </c>
      <c r="X478" s="27">
        <v>0</v>
      </c>
      <c r="Y478" s="23"/>
      <c r="Z478" s="25"/>
      <c r="AA478" s="25"/>
      <c r="AB478" s="25"/>
      <c r="AC478" s="26"/>
    </row>
    <row r="479" spans="1:29" ht="59.25" customHeight="1" x14ac:dyDescent="0.25">
      <c r="A479" s="9" t="s">
        <v>1155</v>
      </c>
      <c r="B479" s="10" t="s">
        <v>1156</v>
      </c>
      <c r="C479" s="11"/>
      <c r="D479" s="11" t="s">
        <v>1124</v>
      </c>
      <c r="E479" s="12">
        <f t="shared" ref="E479:X479" si="255">E480+E485</f>
        <v>13500</v>
      </c>
      <c r="F479" s="12">
        <f t="shared" si="255"/>
        <v>10000</v>
      </c>
      <c r="G479" s="12">
        <f t="shared" si="255"/>
        <v>0</v>
      </c>
      <c r="H479" s="12">
        <f t="shared" si="255"/>
        <v>0</v>
      </c>
      <c r="I479" s="12">
        <f t="shared" si="255"/>
        <v>0</v>
      </c>
      <c r="J479" s="12">
        <f t="shared" si="255"/>
        <v>0</v>
      </c>
      <c r="K479" s="12">
        <f t="shared" si="255"/>
        <v>0</v>
      </c>
      <c r="L479" s="12">
        <f t="shared" si="255"/>
        <v>0</v>
      </c>
      <c r="M479" s="12">
        <f t="shared" si="255"/>
        <v>0</v>
      </c>
      <c r="N479" s="12">
        <f t="shared" si="255"/>
        <v>3500</v>
      </c>
      <c r="O479" s="12">
        <f t="shared" si="255"/>
        <v>13500</v>
      </c>
      <c r="P479" s="12">
        <f t="shared" si="255"/>
        <v>10000</v>
      </c>
      <c r="Q479" s="12">
        <f t="shared" si="255"/>
        <v>0</v>
      </c>
      <c r="R479" s="12">
        <f t="shared" si="255"/>
        <v>0</v>
      </c>
      <c r="S479" s="12">
        <f t="shared" si="255"/>
        <v>0</v>
      </c>
      <c r="T479" s="12">
        <f t="shared" si="255"/>
        <v>0</v>
      </c>
      <c r="U479" s="12">
        <f t="shared" si="255"/>
        <v>0</v>
      </c>
      <c r="V479" s="12">
        <f t="shared" si="255"/>
        <v>0</v>
      </c>
      <c r="W479" s="12">
        <f t="shared" si="255"/>
        <v>0</v>
      </c>
      <c r="X479" s="12">
        <f t="shared" si="255"/>
        <v>3500</v>
      </c>
      <c r="Y479" s="11"/>
      <c r="Z479" s="13"/>
      <c r="AA479" s="13"/>
      <c r="AB479" s="13"/>
      <c r="AC479" s="14"/>
    </row>
    <row r="480" spans="1:29" ht="111" customHeight="1" x14ac:dyDescent="0.25">
      <c r="A480" s="15" t="s">
        <v>1157</v>
      </c>
      <c r="B480" s="16" t="s">
        <v>1158</v>
      </c>
      <c r="C480" s="17"/>
      <c r="D480" s="17" t="s">
        <v>1124</v>
      </c>
      <c r="E480" s="18">
        <f t="shared" ref="E480:X480" si="256">SUM(E481:E481)</f>
        <v>6500</v>
      </c>
      <c r="F480" s="18">
        <f t="shared" si="256"/>
        <v>5500</v>
      </c>
      <c r="G480" s="18">
        <f t="shared" si="256"/>
        <v>0</v>
      </c>
      <c r="H480" s="18">
        <f t="shared" si="256"/>
        <v>0</v>
      </c>
      <c r="I480" s="18">
        <f t="shared" si="256"/>
        <v>0</v>
      </c>
      <c r="J480" s="18">
        <f t="shared" si="256"/>
        <v>0</v>
      </c>
      <c r="K480" s="18">
        <f t="shared" si="256"/>
        <v>0</v>
      </c>
      <c r="L480" s="18">
        <f t="shared" si="256"/>
        <v>0</v>
      </c>
      <c r="M480" s="18">
        <f t="shared" si="256"/>
        <v>0</v>
      </c>
      <c r="N480" s="18">
        <f t="shared" si="256"/>
        <v>1000</v>
      </c>
      <c r="O480" s="18">
        <f t="shared" si="256"/>
        <v>6500</v>
      </c>
      <c r="P480" s="18">
        <f t="shared" si="256"/>
        <v>5500</v>
      </c>
      <c r="Q480" s="18">
        <f t="shared" si="256"/>
        <v>0</v>
      </c>
      <c r="R480" s="18">
        <f t="shared" si="256"/>
        <v>0</v>
      </c>
      <c r="S480" s="18">
        <f t="shared" si="256"/>
        <v>0</v>
      </c>
      <c r="T480" s="18">
        <f t="shared" si="256"/>
        <v>0</v>
      </c>
      <c r="U480" s="18">
        <f t="shared" si="256"/>
        <v>0</v>
      </c>
      <c r="V480" s="18">
        <f t="shared" si="256"/>
        <v>0</v>
      </c>
      <c r="W480" s="18">
        <f t="shared" si="256"/>
        <v>0</v>
      </c>
      <c r="X480" s="18">
        <f t="shared" si="256"/>
        <v>1000</v>
      </c>
      <c r="Y480" s="17"/>
      <c r="Z480" s="19"/>
      <c r="AA480" s="19"/>
      <c r="AB480" s="19"/>
      <c r="AC480" s="20"/>
    </row>
    <row r="481" spans="1:29" ht="90.75" customHeight="1" x14ac:dyDescent="0.25">
      <c r="A481" s="21" t="s">
        <v>1159</v>
      </c>
      <c r="B481" s="22" t="s">
        <v>1160</v>
      </c>
      <c r="C481" s="23" t="s">
        <v>1129</v>
      </c>
      <c r="D481" s="23" t="s">
        <v>1124</v>
      </c>
      <c r="E481" s="24">
        <f>SUM(E482:E484)+6500</f>
        <v>6500</v>
      </c>
      <c r="F481" s="24">
        <f>SUM(F482:F484)+5500</f>
        <v>5500</v>
      </c>
      <c r="G481" s="24">
        <f t="shared" ref="G481:M481" si="257">SUM(G482:G484)</f>
        <v>0</v>
      </c>
      <c r="H481" s="24">
        <f t="shared" si="257"/>
        <v>0</v>
      </c>
      <c r="I481" s="24">
        <f t="shared" si="257"/>
        <v>0</v>
      </c>
      <c r="J481" s="24">
        <f t="shared" si="257"/>
        <v>0</v>
      </c>
      <c r="K481" s="24">
        <f t="shared" si="257"/>
        <v>0</v>
      </c>
      <c r="L481" s="24">
        <f t="shared" si="257"/>
        <v>0</v>
      </c>
      <c r="M481" s="24">
        <f t="shared" si="257"/>
        <v>0</v>
      </c>
      <c r="N481" s="24">
        <f>SUM(N482:N484)+1000</f>
        <v>1000</v>
      </c>
      <c r="O481" s="24">
        <f>SUM(O482:O484)+6500</f>
        <v>6500</v>
      </c>
      <c r="P481" s="24">
        <f>SUM(P482:P484)+5500</f>
        <v>5500</v>
      </c>
      <c r="Q481" s="24">
        <f t="shared" ref="Q481:W481" si="258">SUM(Q482:Q484)</f>
        <v>0</v>
      </c>
      <c r="R481" s="24">
        <f t="shared" si="258"/>
        <v>0</v>
      </c>
      <c r="S481" s="24">
        <f t="shared" si="258"/>
        <v>0</v>
      </c>
      <c r="T481" s="24">
        <f t="shared" si="258"/>
        <v>0</v>
      </c>
      <c r="U481" s="24">
        <f t="shared" si="258"/>
        <v>0</v>
      </c>
      <c r="V481" s="24">
        <f t="shared" si="258"/>
        <v>0</v>
      </c>
      <c r="W481" s="24">
        <f t="shared" si="258"/>
        <v>0</v>
      </c>
      <c r="X481" s="24">
        <f>SUM(X482:X484)+1000</f>
        <v>1000</v>
      </c>
      <c r="Y481" s="23" t="s">
        <v>1161</v>
      </c>
      <c r="Z481" s="25" t="s">
        <v>34</v>
      </c>
      <c r="AA481" s="25" t="s">
        <v>168</v>
      </c>
      <c r="AB481" s="25" t="s">
        <v>168</v>
      </c>
      <c r="AC481" s="26"/>
    </row>
    <row r="482" spans="1:29" ht="27.75" customHeight="1" x14ac:dyDescent="0.25">
      <c r="A482" s="28"/>
      <c r="B482" s="29"/>
      <c r="C482" s="30"/>
      <c r="D482" s="30"/>
      <c r="E482" s="31">
        <v>0</v>
      </c>
      <c r="F482" s="31">
        <v>0</v>
      </c>
      <c r="G482" s="31">
        <v>0</v>
      </c>
      <c r="H482" s="31">
        <v>0</v>
      </c>
      <c r="I482" s="31">
        <v>0</v>
      </c>
      <c r="J482" s="31">
        <v>0</v>
      </c>
      <c r="K482" s="31">
        <v>0</v>
      </c>
      <c r="L482" s="31">
        <v>0</v>
      </c>
      <c r="M482" s="31">
        <v>0</v>
      </c>
      <c r="N482" s="31">
        <v>0</v>
      </c>
      <c r="O482" s="31">
        <v>0</v>
      </c>
      <c r="P482" s="31">
        <v>0</v>
      </c>
      <c r="Q482" s="31">
        <v>0</v>
      </c>
      <c r="R482" s="31">
        <v>0</v>
      </c>
      <c r="S482" s="31">
        <v>0</v>
      </c>
      <c r="T482" s="31">
        <v>0</v>
      </c>
      <c r="U482" s="31">
        <v>0</v>
      </c>
      <c r="V482" s="31">
        <v>0</v>
      </c>
      <c r="W482" s="31">
        <v>0</v>
      </c>
      <c r="X482" s="31">
        <v>0</v>
      </c>
      <c r="Y482" s="30" t="s">
        <v>1162</v>
      </c>
      <c r="Z482" s="32" t="s">
        <v>34</v>
      </c>
      <c r="AA482" s="32" t="s">
        <v>168</v>
      </c>
      <c r="AB482" s="32" t="s">
        <v>80</v>
      </c>
      <c r="AC482" s="33"/>
    </row>
    <row r="483" spans="1:29" ht="79.5" customHeight="1" x14ac:dyDescent="0.25">
      <c r="A483" s="21" t="s">
        <v>1163</v>
      </c>
      <c r="B483" s="22" t="s">
        <v>1164</v>
      </c>
      <c r="C483" s="23"/>
      <c r="D483" s="23" t="s">
        <v>1124</v>
      </c>
      <c r="E483" s="27">
        <v>0</v>
      </c>
      <c r="F483" s="27">
        <v>0</v>
      </c>
      <c r="G483" s="27">
        <v>0</v>
      </c>
      <c r="H483" s="27">
        <v>0</v>
      </c>
      <c r="I483" s="27">
        <v>0</v>
      </c>
      <c r="J483" s="27">
        <v>0</v>
      </c>
      <c r="K483" s="27">
        <v>0</v>
      </c>
      <c r="L483" s="27">
        <v>0</v>
      </c>
      <c r="M483" s="27">
        <v>0</v>
      </c>
      <c r="N483" s="27">
        <v>0</v>
      </c>
      <c r="O483" s="27">
        <v>0</v>
      </c>
      <c r="P483" s="27">
        <v>0</v>
      </c>
      <c r="Q483" s="27">
        <v>0</v>
      </c>
      <c r="R483" s="27">
        <v>0</v>
      </c>
      <c r="S483" s="27">
        <v>0</v>
      </c>
      <c r="T483" s="27">
        <v>0</v>
      </c>
      <c r="U483" s="27">
        <v>0</v>
      </c>
      <c r="V483" s="27">
        <v>0</v>
      </c>
      <c r="W483" s="27">
        <v>0</v>
      </c>
      <c r="X483" s="27">
        <v>0</v>
      </c>
      <c r="Y483" s="23"/>
      <c r="Z483" s="25"/>
      <c r="AA483" s="25"/>
      <c r="AB483" s="25"/>
      <c r="AC483" s="26"/>
    </row>
    <row r="484" spans="1:29" ht="85.5" customHeight="1" x14ac:dyDescent="0.25">
      <c r="A484" s="21" t="s">
        <v>1165</v>
      </c>
      <c r="B484" s="22" t="s">
        <v>1166</v>
      </c>
      <c r="C484" s="23"/>
      <c r="D484" s="23" t="s">
        <v>1124</v>
      </c>
      <c r="E484" s="27">
        <v>0</v>
      </c>
      <c r="F484" s="27">
        <v>0</v>
      </c>
      <c r="G484" s="27">
        <v>0</v>
      </c>
      <c r="H484" s="27">
        <v>0</v>
      </c>
      <c r="I484" s="27">
        <v>0</v>
      </c>
      <c r="J484" s="27">
        <v>0</v>
      </c>
      <c r="K484" s="27">
        <v>0</v>
      </c>
      <c r="L484" s="27">
        <v>0</v>
      </c>
      <c r="M484" s="27">
        <v>0</v>
      </c>
      <c r="N484" s="27">
        <v>0</v>
      </c>
      <c r="O484" s="27">
        <v>0</v>
      </c>
      <c r="P484" s="27">
        <v>0</v>
      </c>
      <c r="Q484" s="27">
        <v>0</v>
      </c>
      <c r="R484" s="27">
        <v>0</v>
      </c>
      <c r="S484" s="27">
        <v>0</v>
      </c>
      <c r="T484" s="27">
        <v>0</v>
      </c>
      <c r="U484" s="27">
        <v>0</v>
      </c>
      <c r="V484" s="27">
        <v>0</v>
      </c>
      <c r="W484" s="27">
        <v>0</v>
      </c>
      <c r="X484" s="27">
        <v>0</v>
      </c>
      <c r="Y484" s="23"/>
      <c r="Z484" s="25"/>
      <c r="AA484" s="25"/>
      <c r="AB484" s="25"/>
      <c r="AC484" s="26"/>
    </row>
    <row r="485" spans="1:29" ht="94.5" customHeight="1" x14ac:dyDescent="0.25">
      <c r="A485" s="15" t="s">
        <v>1167</v>
      </c>
      <c r="B485" s="16" t="s">
        <v>1168</v>
      </c>
      <c r="C485" s="17"/>
      <c r="D485" s="17" t="s">
        <v>1124</v>
      </c>
      <c r="E485" s="18">
        <f t="shared" ref="E485:X485" si="259">SUM(E486:E486)</f>
        <v>7000</v>
      </c>
      <c r="F485" s="18">
        <f t="shared" si="259"/>
        <v>4500</v>
      </c>
      <c r="G485" s="18">
        <f t="shared" si="259"/>
        <v>0</v>
      </c>
      <c r="H485" s="18">
        <f t="shared" si="259"/>
        <v>0</v>
      </c>
      <c r="I485" s="18">
        <f t="shared" si="259"/>
        <v>0</v>
      </c>
      <c r="J485" s="18">
        <f t="shared" si="259"/>
        <v>0</v>
      </c>
      <c r="K485" s="18">
        <f t="shared" si="259"/>
        <v>0</v>
      </c>
      <c r="L485" s="18">
        <f t="shared" si="259"/>
        <v>0</v>
      </c>
      <c r="M485" s="18">
        <f t="shared" si="259"/>
        <v>0</v>
      </c>
      <c r="N485" s="18">
        <f t="shared" si="259"/>
        <v>2500</v>
      </c>
      <c r="O485" s="18">
        <f t="shared" si="259"/>
        <v>7000</v>
      </c>
      <c r="P485" s="18">
        <f t="shared" si="259"/>
        <v>4500</v>
      </c>
      <c r="Q485" s="18">
        <f t="shared" si="259"/>
        <v>0</v>
      </c>
      <c r="R485" s="18">
        <f t="shared" si="259"/>
        <v>0</v>
      </c>
      <c r="S485" s="18">
        <f t="shared" si="259"/>
        <v>0</v>
      </c>
      <c r="T485" s="18">
        <f t="shared" si="259"/>
        <v>0</v>
      </c>
      <c r="U485" s="18">
        <f t="shared" si="259"/>
        <v>0</v>
      </c>
      <c r="V485" s="18">
        <f t="shared" si="259"/>
        <v>0</v>
      </c>
      <c r="W485" s="18">
        <f t="shared" si="259"/>
        <v>0</v>
      </c>
      <c r="X485" s="18">
        <f t="shared" si="259"/>
        <v>2500</v>
      </c>
      <c r="Y485" s="17"/>
      <c r="Z485" s="19"/>
      <c r="AA485" s="19"/>
      <c r="AB485" s="19"/>
      <c r="AC485" s="20"/>
    </row>
    <row r="486" spans="1:29" ht="75.75" customHeight="1" x14ac:dyDescent="0.25">
      <c r="A486" s="21" t="s">
        <v>1169</v>
      </c>
      <c r="B486" s="22" t="s">
        <v>1170</v>
      </c>
      <c r="C486" s="23"/>
      <c r="D486" s="23" t="s">
        <v>1124</v>
      </c>
      <c r="E486" s="24">
        <f>SUM(E487:E490)+7000</f>
        <v>7000</v>
      </c>
      <c r="F486" s="24">
        <f>SUM(F487:F490)+4500</f>
        <v>4500</v>
      </c>
      <c r="G486" s="24">
        <f t="shared" ref="G486:M486" si="260">SUM(G487:G490)</f>
        <v>0</v>
      </c>
      <c r="H486" s="24">
        <f t="shared" si="260"/>
        <v>0</v>
      </c>
      <c r="I486" s="24">
        <f t="shared" si="260"/>
        <v>0</v>
      </c>
      <c r="J486" s="24">
        <f t="shared" si="260"/>
        <v>0</v>
      </c>
      <c r="K486" s="24">
        <f t="shared" si="260"/>
        <v>0</v>
      </c>
      <c r="L486" s="24">
        <f t="shared" si="260"/>
        <v>0</v>
      </c>
      <c r="M486" s="24">
        <f t="shared" si="260"/>
        <v>0</v>
      </c>
      <c r="N486" s="24">
        <f>SUM(N487:N490)+2500</f>
        <v>2500</v>
      </c>
      <c r="O486" s="24">
        <f>SUM(O487:O490)+7000</f>
        <v>7000</v>
      </c>
      <c r="P486" s="24">
        <f>SUM(P487:P490)+4500</f>
        <v>4500</v>
      </c>
      <c r="Q486" s="24">
        <f t="shared" ref="Q486:W486" si="261">SUM(Q487:Q490)</f>
        <v>0</v>
      </c>
      <c r="R486" s="24">
        <f t="shared" si="261"/>
        <v>0</v>
      </c>
      <c r="S486" s="24">
        <f t="shared" si="261"/>
        <v>0</v>
      </c>
      <c r="T486" s="24">
        <f t="shared" si="261"/>
        <v>0</v>
      </c>
      <c r="U486" s="24">
        <f t="shared" si="261"/>
        <v>0</v>
      </c>
      <c r="V486" s="24">
        <f t="shared" si="261"/>
        <v>0</v>
      </c>
      <c r="W486" s="24">
        <f t="shared" si="261"/>
        <v>0</v>
      </c>
      <c r="X486" s="24">
        <f>SUM(X487:X490)+2500</f>
        <v>2500</v>
      </c>
      <c r="Y486" s="23" t="s">
        <v>1171</v>
      </c>
      <c r="Z486" s="25" t="s">
        <v>34</v>
      </c>
      <c r="AA486" s="25" t="s">
        <v>293</v>
      </c>
      <c r="AB486" s="25" t="s">
        <v>293</v>
      </c>
      <c r="AC486" s="26"/>
    </row>
    <row r="487" spans="1:29" ht="37.5" customHeight="1" x14ac:dyDescent="0.25">
      <c r="A487" s="28"/>
      <c r="B487" s="29"/>
      <c r="C487" s="30"/>
      <c r="D487" s="30"/>
      <c r="E487" s="31">
        <v>0</v>
      </c>
      <c r="F487" s="31">
        <v>0</v>
      </c>
      <c r="G487" s="31">
        <v>0</v>
      </c>
      <c r="H487" s="31">
        <v>0</v>
      </c>
      <c r="I487" s="31">
        <v>0</v>
      </c>
      <c r="J487" s="31">
        <v>0</v>
      </c>
      <c r="K487" s="31">
        <v>0</v>
      </c>
      <c r="L487" s="31">
        <v>0</v>
      </c>
      <c r="M487" s="31">
        <v>0</v>
      </c>
      <c r="N487" s="31">
        <v>0</v>
      </c>
      <c r="O487" s="31">
        <v>0</v>
      </c>
      <c r="P487" s="31">
        <v>0</v>
      </c>
      <c r="Q487" s="31">
        <v>0</v>
      </c>
      <c r="R487" s="31">
        <v>0</v>
      </c>
      <c r="S487" s="31">
        <v>0</v>
      </c>
      <c r="T487" s="31">
        <v>0</v>
      </c>
      <c r="U487" s="31">
        <v>0</v>
      </c>
      <c r="V487" s="31">
        <v>0</v>
      </c>
      <c r="W487" s="31">
        <v>0</v>
      </c>
      <c r="X487" s="31">
        <v>0</v>
      </c>
      <c r="Y487" s="30" t="s">
        <v>1172</v>
      </c>
      <c r="Z487" s="32" t="s">
        <v>34</v>
      </c>
      <c r="AA487" s="32" t="s">
        <v>108</v>
      </c>
      <c r="AB487" s="32" t="s">
        <v>108</v>
      </c>
      <c r="AC487" s="33"/>
    </row>
    <row r="488" spans="1:29" ht="50.25" customHeight="1" x14ac:dyDescent="0.25">
      <c r="A488" s="21" t="s">
        <v>1173</v>
      </c>
      <c r="B488" s="22" t="s">
        <v>1174</v>
      </c>
      <c r="C488" s="23"/>
      <c r="D488" s="23" t="s">
        <v>1124</v>
      </c>
      <c r="E488" s="27">
        <v>0</v>
      </c>
      <c r="F488" s="27">
        <v>0</v>
      </c>
      <c r="G488" s="27">
        <v>0</v>
      </c>
      <c r="H488" s="27">
        <v>0</v>
      </c>
      <c r="I488" s="27">
        <v>0</v>
      </c>
      <c r="J488" s="27">
        <v>0</v>
      </c>
      <c r="K488" s="27">
        <v>0</v>
      </c>
      <c r="L488" s="27">
        <v>0</v>
      </c>
      <c r="M488" s="27">
        <v>0</v>
      </c>
      <c r="N488" s="27">
        <v>0</v>
      </c>
      <c r="O488" s="27">
        <v>0</v>
      </c>
      <c r="P488" s="27">
        <v>0</v>
      </c>
      <c r="Q488" s="27">
        <v>0</v>
      </c>
      <c r="R488" s="27">
        <v>0</v>
      </c>
      <c r="S488" s="27">
        <v>0</v>
      </c>
      <c r="T488" s="27">
        <v>0</v>
      </c>
      <c r="U488" s="27">
        <v>0</v>
      </c>
      <c r="V488" s="27">
        <v>0</v>
      </c>
      <c r="W488" s="27">
        <v>0</v>
      </c>
      <c r="X488" s="27">
        <v>0</v>
      </c>
      <c r="Y488" s="23"/>
      <c r="Z488" s="25"/>
      <c r="AA488" s="25"/>
      <c r="AB488" s="25"/>
      <c r="AC488" s="26"/>
    </row>
    <row r="489" spans="1:29" ht="54" customHeight="1" x14ac:dyDescent="0.25">
      <c r="A489" s="21" t="s">
        <v>1175</v>
      </c>
      <c r="B489" s="22" t="s">
        <v>1176</v>
      </c>
      <c r="C489" s="23"/>
      <c r="D489" s="23" t="s">
        <v>1124</v>
      </c>
      <c r="E489" s="27">
        <v>0</v>
      </c>
      <c r="F489" s="27">
        <v>0</v>
      </c>
      <c r="G489" s="27">
        <v>0</v>
      </c>
      <c r="H489" s="27">
        <v>0</v>
      </c>
      <c r="I489" s="27">
        <v>0</v>
      </c>
      <c r="J489" s="27">
        <v>0</v>
      </c>
      <c r="K489" s="27">
        <v>0</v>
      </c>
      <c r="L489" s="27">
        <v>0</v>
      </c>
      <c r="M489" s="27">
        <v>0</v>
      </c>
      <c r="N489" s="27">
        <v>0</v>
      </c>
      <c r="O489" s="27">
        <v>0</v>
      </c>
      <c r="P489" s="27">
        <v>0</v>
      </c>
      <c r="Q489" s="27">
        <v>0</v>
      </c>
      <c r="R489" s="27">
        <v>0</v>
      </c>
      <c r="S489" s="27">
        <v>0</v>
      </c>
      <c r="T489" s="27">
        <v>0</v>
      </c>
      <c r="U489" s="27">
        <v>0</v>
      </c>
      <c r="V489" s="27">
        <v>0</v>
      </c>
      <c r="W489" s="27">
        <v>0</v>
      </c>
      <c r="X489" s="27">
        <v>0</v>
      </c>
      <c r="Y489" s="23"/>
      <c r="Z489" s="25"/>
      <c r="AA489" s="25"/>
      <c r="AB489" s="25"/>
      <c r="AC489" s="26"/>
    </row>
    <row r="490" spans="1:29" ht="35.25" customHeight="1" x14ac:dyDescent="0.25">
      <c r="A490" s="21" t="s">
        <v>1177</v>
      </c>
      <c r="B490" s="22" t="s">
        <v>1178</v>
      </c>
      <c r="C490" s="23"/>
      <c r="D490" s="23" t="s">
        <v>1124</v>
      </c>
      <c r="E490" s="27">
        <v>0</v>
      </c>
      <c r="F490" s="27">
        <v>0</v>
      </c>
      <c r="G490" s="27">
        <v>0</v>
      </c>
      <c r="H490" s="27">
        <v>0</v>
      </c>
      <c r="I490" s="27">
        <v>0</v>
      </c>
      <c r="J490" s="27">
        <v>0</v>
      </c>
      <c r="K490" s="27">
        <v>0</v>
      </c>
      <c r="L490" s="27">
        <v>0</v>
      </c>
      <c r="M490" s="27">
        <v>0</v>
      </c>
      <c r="N490" s="27">
        <v>0</v>
      </c>
      <c r="O490" s="27">
        <v>0</v>
      </c>
      <c r="P490" s="27">
        <v>0</v>
      </c>
      <c r="Q490" s="27">
        <v>0</v>
      </c>
      <c r="R490" s="27">
        <v>0</v>
      </c>
      <c r="S490" s="27">
        <v>0</v>
      </c>
      <c r="T490" s="27">
        <v>0</v>
      </c>
      <c r="U490" s="27">
        <v>0</v>
      </c>
      <c r="V490" s="27">
        <v>0</v>
      </c>
      <c r="W490" s="27">
        <v>0</v>
      </c>
      <c r="X490" s="27">
        <v>0</v>
      </c>
      <c r="Y490" s="23"/>
      <c r="Z490" s="25"/>
      <c r="AA490" s="25"/>
      <c r="AB490" s="25"/>
      <c r="AC490" s="26"/>
    </row>
    <row r="491" spans="1:29" ht="63" customHeight="1" x14ac:dyDescent="0.25">
      <c r="A491" s="9" t="s">
        <v>1179</v>
      </c>
      <c r="B491" s="10" t="s">
        <v>1180</v>
      </c>
      <c r="C491" s="11"/>
      <c r="D491" s="11" t="s">
        <v>1124</v>
      </c>
      <c r="E491" s="12">
        <f t="shared" ref="E491:X491" si="262">E492+E497</f>
        <v>57300</v>
      </c>
      <c r="F491" s="12">
        <f t="shared" si="262"/>
        <v>51500</v>
      </c>
      <c r="G491" s="12">
        <f t="shared" si="262"/>
        <v>0</v>
      </c>
      <c r="H491" s="12">
        <f t="shared" si="262"/>
        <v>0</v>
      </c>
      <c r="I491" s="12">
        <f t="shared" si="262"/>
        <v>0</v>
      </c>
      <c r="J491" s="12">
        <f t="shared" si="262"/>
        <v>0</v>
      </c>
      <c r="K491" s="12">
        <f t="shared" si="262"/>
        <v>0</v>
      </c>
      <c r="L491" s="12">
        <f t="shared" si="262"/>
        <v>0</v>
      </c>
      <c r="M491" s="12">
        <f t="shared" si="262"/>
        <v>0</v>
      </c>
      <c r="N491" s="12">
        <f t="shared" si="262"/>
        <v>5800</v>
      </c>
      <c r="O491" s="12">
        <f t="shared" si="262"/>
        <v>66985</v>
      </c>
      <c r="P491" s="12">
        <f t="shared" si="262"/>
        <v>56280</v>
      </c>
      <c r="Q491" s="12">
        <f t="shared" si="262"/>
        <v>0</v>
      </c>
      <c r="R491" s="12">
        <f t="shared" si="262"/>
        <v>0</v>
      </c>
      <c r="S491" s="12">
        <f t="shared" si="262"/>
        <v>0</v>
      </c>
      <c r="T491" s="12">
        <f t="shared" si="262"/>
        <v>0</v>
      </c>
      <c r="U491" s="12">
        <f t="shared" si="262"/>
        <v>0</v>
      </c>
      <c r="V491" s="12">
        <f t="shared" si="262"/>
        <v>0</v>
      </c>
      <c r="W491" s="12">
        <f t="shared" si="262"/>
        <v>0</v>
      </c>
      <c r="X491" s="12">
        <f t="shared" si="262"/>
        <v>10705</v>
      </c>
      <c r="Y491" s="11"/>
      <c r="Z491" s="13"/>
      <c r="AA491" s="13"/>
      <c r="AB491" s="13"/>
      <c r="AC491" s="14"/>
    </row>
    <row r="492" spans="1:29" ht="92.25" customHeight="1" x14ac:dyDescent="0.25">
      <c r="A492" s="15" t="s">
        <v>1181</v>
      </c>
      <c r="B492" s="16" t="s">
        <v>1182</v>
      </c>
      <c r="C492" s="17"/>
      <c r="D492" s="17" t="s">
        <v>1124</v>
      </c>
      <c r="E492" s="18">
        <f t="shared" ref="E492:X492" si="263">E493+E495</f>
        <v>37300</v>
      </c>
      <c r="F492" s="18">
        <f t="shared" si="263"/>
        <v>35000</v>
      </c>
      <c r="G492" s="18">
        <f t="shared" si="263"/>
        <v>0</v>
      </c>
      <c r="H492" s="18">
        <f t="shared" si="263"/>
        <v>0</v>
      </c>
      <c r="I492" s="18">
        <f t="shared" si="263"/>
        <v>0</v>
      </c>
      <c r="J492" s="18">
        <f t="shared" si="263"/>
        <v>0</v>
      </c>
      <c r="K492" s="18">
        <f t="shared" si="263"/>
        <v>0</v>
      </c>
      <c r="L492" s="18">
        <f t="shared" si="263"/>
        <v>0</v>
      </c>
      <c r="M492" s="18">
        <f t="shared" si="263"/>
        <v>0</v>
      </c>
      <c r="N492" s="18">
        <f t="shared" si="263"/>
        <v>2300</v>
      </c>
      <c r="O492" s="18">
        <f t="shared" si="263"/>
        <v>41980</v>
      </c>
      <c r="P492" s="18">
        <f t="shared" si="263"/>
        <v>39780</v>
      </c>
      <c r="Q492" s="18">
        <f t="shared" si="263"/>
        <v>0</v>
      </c>
      <c r="R492" s="18">
        <f t="shared" si="263"/>
        <v>0</v>
      </c>
      <c r="S492" s="18">
        <f t="shared" si="263"/>
        <v>0</v>
      </c>
      <c r="T492" s="18">
        <f t="shared" si="263"/>
        <v>0</v>
      </c>
      <c r="U492" s="18">
        <f t="shared" si="263"/>
        <v>0</v>
      </c>
      <c r="V492" s="18">
        <f t="shared" si="263"/>
        <v>0</v>
      </c>
      <c r="W492" s="18">
        <f t="shared" si="263"/>
        <v>0</v>
      </c>
      <c r="X492" s="18">
        <f t="shared" si="263"/>
        <v>2200</v>
      </c>
      <c r="Y492" s="17"/>
      <c r="Z492" s="19"/>
      <c r="AA492" s="19"/>
      <c r="AB492" s="19"/>
      <c r="AC492" s="20"/>
    </row>
    <row r="493" spans="1:29" ht="64.5" customHeight="1" x14ac:dyDescent="0.25">
      <c r="A493" s="21" t="s">
        <v>1183</v>
      </c>
      <c r="B493" s="22" t="s">
        <v>1184</v>
      </c>
      <c r="C493" s="23"/>
      <c r="D493" s="23" t="s">
        <v>1124</v>
      </c>
      <c r="E493" s="24">
        <f>SUM(E494:E494)+21200</f>
        <v>21200</v>
      </c>
      <c r="F493" s="24">
        <f>SUM(F494:F494)+20000</f>
        <v>20000</v>
      </c>
      <c r="G493" s="24">
        <f t="shared" ref="G493:M493" si="264">SUM(G494:G494)</f>
        <v>0</v>
      </c>
      <c r="H493" s="24">
        <f t="shared" si="264"/>
        <v>0</v>
      </c>
      <c r="I493" s="24">
        <f t="shared" si="264"/>
        <v>0</v>
      </c>
      <c r="J493" s="24">
        <f t="shared" si="264"/>
        <v>0</v>
      </c>
      <c r="K493" s="24">
        <f t="shared" si="264"/>
        <v>0</v>
      </c>
      <c r="L493" s="24">
        <f t="shared" si="264"/>
        <v>0</v>
      </c>
      <c r="M493" s="24">
        <f t="shared" si="264"/>
        <v>0</v>
      </c>
      <c r="N493" s="24">
        <f>SUM(N494:N494)+1200</f>
        <v>1200</v>
      </c>
      <c r="O493" s="24">
        <f>SUM(O494:O494)+31100</f>
        <v>31100</v>
      </c>
      <c r="P493" s="24">
        <f>SUM(P494:P494)+30000</f>
        <v>30000</v>
      </c>
      <c r="Q493" s="24">
        <f t="shared" ref="Q493:W493" si="265">SUM(Q494:Q494)</f>
        <v>0</v>
      </c>
      <c r="R493" s="24">
        <f t="shared" si="265"/>
        <v>0</v>
      </c>
      <c r="S493" s="24">
        <f t="shared" si="265"/>
        <v>0</v>
      </c>
      <c r="T493" s="24">
        <f t="shared" si="265"/>
        <v>0</v>
      </c>
      <c r="U493" s="24">
        <f t="shared" si="265"/>
        <v>0</v>
      </c>
      <c r="V493" s="24">
        <f t="shared" si="265"/>
        <v>0</v>
      </c>
      <c r="W493" s="24">
        <f t="shared" si="265"/>
        <v>0</v>
      </c>
      <c r="X493" s="24">
        <f>SUM(X494:X494)+1100</f>
        <v>1100</v>
      </c>
      <c r="Y493" s="23" t="s">
        <v>1185</v>
      </c>
      <c r="Z493" s="25" t="s">
        <v>34</v>
      </c>
      <c r="AA493" s="25" t="s">
        <v>108</v>
      </c>
      <c r="AB493" s="25" t="s">
        <v>168</v>
      </c>
      <c r="AC493" s="26"/>
    </row>
    <row r="494" spans="1:29" ht="54" customHeight="1" x14ac:dyDescent="0.25">
      <c r="A494" s="21" t="s">
        <v>1186</v>
      </c>
      <c r="B494" s="22" t="s">
        <v>1187</v>
      </c>
      <c r="C494" s="23"/>
      <c r="D494" s="23" t="s">
        <v>1124</v>
      </c>
      <c r="E494" s="27">
        <v>0</v>
      </c>
      <c r="F494" s="27">
        <v>0</v>
      </c>
      <c r="G494" s="27">
        <v>0</v>
      </c>
      <c r="H494" s="27">
        <v>0</v>
      </c>
      <c r="I494" s="27">
        <v>0</v>
      </c>
      <c r="J494" s="27">
        <v>0</v>
      </c>
      <c r="K494" s="27">
        <v>0</v>
      </c>
      <c r="L494" s="27">
        <v>0</v>
      </c>
      <c r="M494" s="27">
        <v>0</v>
      </c>
      <c r="N494" s="27">
        <v>0</v>
      </c>
      <c r="O494" s="27">
        <v>0</v>
      </c>
      <c r="P494" s="27">
        <v>0</v>
      </c>
      <c r="Q494" s="27">
        <v>0</v>
      </c>
      <c r="R494" s="27">
        <v>0</v>
      </c>
      <c r="S494" s="27">
        <v>0</v>
      </c>
      <c r="T494" s="27">
        <v>0</v>
      </c>
      <c r="U494" s="27">
        <v>0</v>
      </c>
      <c r="V494" s="27">
        <v>0</v>
      </c>
      <c r="W494" s="27">
        <v>0</v>
      </c>
      <c r="X494" s="27">
        <v>0</v>
      </c>
      <c r="Y494" s="23"/>
      <c r="Z494" s="25"/>
      <c r="AA494" s="25"/>
      <c r="AB494" s="25"/>
      <c r="AC494" s="26"/>
    </row>
    <row r="495" spans="1:29" ht="115.5" customHeight="1" x14ac:dyDescent="0.25">
      <c r="A495" s="21" t="s">
        <v>1188</v>
      </c>
      <c r="B495" s="22" t="s">
        <v>1189</v>
      </c>
      <c r="C495" s="23" t="s">
        <v>1129</v>
      </c>
      <c r="D495" s="23" t="s">
        <v>1124</v>
      </c>
      <c r="E495" s="24">
        <f>SUM(E496:E496)+16100</f>
        <v>16100</v>
      </c>
      <c r="F495" s="24">
        <f>SUM(F496:F496)+15000</f>
        <v>15000</v>
      </c>
      <c r="G495" s="24">
        <f t="shared" ref="G495:M495" si="266">SUM(G496:G496)</f>
        <v>0</v>
      </c>
      <c r="H495" s="24">
        <f t="shared" si="266"/>
        <v>0</v>
      </c>
      <c r="I495" s="24">
        <f t="shared" si="266"/>
        <v>0</v>
      </c>
      <c r="J495" s="24">
        <f t="shared" si="266"/>
        <v>0</v>
      </c>
      <c r="K495" s="24">
        <f t="shared" si="266"/>
        <v>0</v>
      </c>
      <c r="L495" s="24">
        <f t="shared" si="266"/>
        <v>0</v>
      </c>
      <c r="M495" s="24">
        <f t="shared" si="266"/>
        <v>0</v>
      </c>
      <c r="N495" s="24">
        <f>SUM(N496:N496)+1100</f>
        <v>1100</v>
      </c>
      <c r="O495" s="24">
        <f>SUM(O496:O496)+10880</f>
        <v>10880</v>
      </c>
      <c r="P495" s="24">
        <f>SUM(P496:P496)+9780</f>
        <v>9780</v>
      </c>
      <c r="Q495" s="24">
        <f t="shared" ref="Q495:W495" si="267">SUM(Q496:Q496)</f>
        <v>0</v>
      </c>
      <c r="R495" s="24">
        <f t="shared" si="267"/>
        <v>0</v>
      </c>
      <c r="S495" s="24">
        <f t="shared" si="267"/>
        <v>0</v>
      </c>
      <c r="T495" s="24">
        <f t="shared" si="267"/>
        <v>0</v>
      </c>
      <c r="U495" s="24">
        <f t="shared" si="267"/>
        <v>0</v>
      </c>
      <c r="V495" s="24">
        <f t="shared" si="267"/>
        <v>0</v>
      </c>
      <c r="W495" s="24">
        <f t="shared" si="267"/>
        <v>0</v>
      </c>
      <c r="X495" s="24">
        <f>SUM(X496:X496)+1100</f>
        <v>1100</v>
      </c>
      <c r="Y495" s="23" t="s">
        <v>1190</v>
      </c>
      <c r="Z495" s="25" t="s">
        <v>34</v>
      </c>
      <c r="AA495" s="25" t="s">
        <v>79</v>
      </c>
      <c r="AB495" s="25" t="s">
        <v>903</v>
      </c>
      <c r="AC495" s="26"/>
    </row>
    <row r="496" spans="1:29" ht="98.25" customHeight="1" x14ac:dyDescent="0.25">
      <c r="A496" s="21" t="s">
        <v>1191</v>
      </c>
      <c r="B496" s="22" t="s">
        <v>1192</v>
      </c>
      <c r="C496" s="23"/>
      <c r="D496" s="23"/>
      <c r="E496" s="27">
        <v>0</v>
      </c>
      <c r="F496" s="27">
        <v>0</v>
      </c>
      <c r="G496" s="27">
        <v>0</v>
      </c>
      <c r="H496" s="27">
        <v>0</v>
      </c>
      <c r="I496" s="27">
        <v>0</v>
      </c>
      <c r="J496" s="27">
        <v>0</v>
      </c>
      <c r="K496" s="27">
        <v>0</v>
      </c>
      <c r="L496" s="27">
        <v>0</v>
      </c>
      <c r="M496" s="27">
        <v>0</v>
      </c>
      <c r="N496" s="27">
        <v>0</v>
      </c>
      <c r="O496" s="27">
        <v>0</v>
      </c>
      <c r="P496" s="27">
        <v>0</v>
      </c>
      <c r="Q496" s="27">
        <v>0</v>
      </c>
      <c r="R496" s="27">
        <v>0</v>
      </c>
      <c r="S496" s="27">
        <v>0</v>
      </c>
      <c r="T496" s="27">
        <v>0</v>
      </c>
      <c r="U496" s="27">
        <v>0</v>
      </c>
      <c r="V496" s="27">
        <v>0</v>
      </c>
      <c r="W496" s="27">
        <v>0</v>
      </c>
      <c r="X496" s="27">
        <v>0</v>
      </c>
      <c r="Y496" s="23"/>
      <c r="Z496" s="25"/>
      <c r="AA496" s="25"/>
      <c r="AB496" s="25"/>
      <c r="AC496" s="26"/>
    </row>
    <row r="497" spans="1:29" ht="48" customHeight="1" x14ac:dyDescent="0.25">
      <c r="A497" s="15" t="s">
        <v>1193</v>
      </c>
      <c r="B497" s="16" t="s">
        <v>1194</v>
      </c>
      <c r="C497" s="17" t="s">
        <v>1129</v>
      </c>
      <c r="D497" s="17" t="s">
        <v>1124</v>
      </c>
      <c r="E497" s="18">
        <f t="shared" ref="E497:X497" si="268">SUM(E498:E498)</f>
        <v>20000</v>
      </c>
      <c r="F497" s="18">
        <f t="shared" si="268"/>
        <v>16500</v>
      </c>
      <c r="G497" s="18">
        <f t="shared" si="268"/>
        <v>0</v>
      </c>
      <c r="H497" s="18">
        <f t="shared" si="268"/>
        <v>0</v>
      </c>
      <c r="I497" s="18">
        <f t="shared" si="268"/>
        <v>0</v>
      </c>
      <c r="J497" s="18">
        <f t="shared" si="268"/>
        <v>0</v>
      </c>
      <c r="K497" s="18">
        <f t="shared" si="268"/>
        <v>0</v>
      </c>
      <c r="L497" s="18">
        <f t="shared" si="268"/>
        <v>0</v>
      </c>
      <c r="M497" s="18">
        <f t="shared" si="268"/>
        <v>0</v>
      </c>
      <c r="N497" s="18">
        <f t="shared" si="268"/>
        <v>3500</v>
      </c>
      <c r="O497" s="18">
        <f t="shared" si="268"/>
        <v>25005</v>
      </c>
      <c r="P497" s="18">
        <f t="shared" si="268"/>
        <v>16500</v>
      </c>
      <c r="Q497" s="18">
        <f t="shared" si="268"/>
        <v>0</v>
      </c>
      <c r="R497" s="18">
        <f t="shared" si="268"/>
        <v>0</v>
      </c>
      <c r="S497" s="18">
        <f t="shared" si="268"/>
        <v>0</v>
      </c>
      <c r="T497" s="18">
        <f t="shared" si="268"/>
        <v>0</v>
      </c>
      <c r="U497" s="18">
        <f t="shared" si="268"/>
        <v>0</v>
      </c>
      <c r="V497" s="18">
        <f t="shared" si="268"/>
        <v>0</v>
      </c>
      <c r="W497" s="18">
        <f t="shared" si="268"/>
        <v>0</v>
      </c>
      <c r="X497" s="18">
        <f t="shared" si="268"/>
        <v>8505</v>
      </c>
      <c r="Y497" s="17"/>
      <c r="Z497" s="19"/>
      <c r="AA497" s="19"/>
      <c r="AB497" s="19"/>
      <c r="AC497" s="20"/>
    </row>
    <row r="498" spans="1:29" ht="98.25" customHeight="1" x14ac:dyDescent="0.25">
      <c r="A498" s="21" t="s">
        <v>1195</v>
      </c>
      <c r="B498" s="22" t="s">
        <v>1196</v>
      </c>
      <c r="C498" s="23" t="s">
        <v>1129</v>
      </c>
      <c r="D498" s="23" t="s">
        <v>1124</v>
      </c>
      <c r="E498" s="24">
        <f>SUM(E499:E505)+20000</f>
        <v>20000</v>
      </c>
      <c r="F498" s="24">
        <f>SUM(F499:F505)+16500</f>
        <v>16500</v>
      </c>
      <c r="G498" s="24">
        <f t="shared" ref="G498:M498" si="269">SUM(G499:G505)</f>
        <v>0</v>
      </c>
      <c r="H498" s="24">
        <f t="shared" si="269"/>
        <v>0</v>
      </c>
      <c r="I498" s="24">
        <f t="shared" si="269"/>
        <v>0</v>
      </c>
      <c r="J498" s="24">
        <f t="shared" si="269"/>
        <v>0</v>
      </c>
      <c r="K498" s="24">
        <f t="shared" si="269"/>
        <v>0</v>
      </c>
      <c r="L498" s="24">
        <f t="shared" si="269"/>
        <v>0</v>
      </c>
      <c r="M498" s="24">
        <f t="shared" si="269"/>
        <v>0</v>
      </c>
      <c r="N498" s="24">
        <f>SUM(N499:N505)+3500</f>
        <v>3500</v>
      </c>
      <c r="O498" s="24">
        <f>SUM(O499:O505)+25005</f>
        <v>25005</v>
      </c>
      <c r="P498" s="24">
        <f>SUM(P499:P505)+16500</f>
        <v>16500</v>
      </c>
      <c r="Q498" s="24">
        <f t="shared" ref="Q498:W498" si="270">SUM(Q499:Q505)</f>
        <v>0</v>
      </c>
      <c r="R498" s="24">
        <f t="shared" si="270"/>
        <v>0</v>
      </c>
      <c r="S498" s="24">
        <f t="shared" si="270"/>
        <v>0</v>
      </c>
      <c r="T498" s="24">
        <f t="shared" si="270"/>
        <v>0</v>
      </c>
      <c r="U498" s="24">
        <f t="shared" si="270"/>
        <v>0</v>
      </c>
      <c r="V498" s="24">
        <f t="shared" si="270"/>
        <v>0</v>
      </c>
      <c r="W498" s="24">
        <f t="shared" si="270"/>
        <v>0</v>
      </c>
      <c r="X498" s="24">
        <f>SUM(X499:X505)+8505</f>
        <v>8505</v>
      </c>
      <c r="Y498" s="23" t="s">
        <v>1197</v>
      </c>
      <c r="Z498" s="25" t="s">
        <v>1198</v>
      </c>
      <c r="AA498" s="25" t="s">
        <v>499</v>
      </c>
      <c r="AB498" s="25" t="s">
        <v>499</v>
      </c>
      <c r="AC498" s="26"/>
    </row>
    <row r="499" spans="1:29" x14ac:dyDescent="0.25">
      <c r="A499" s="28"/>
      <c r="B499" s="29"/>
      <c r="C499" s="30"/>
      <c r="D499" s="30"/>
      <c r="E499" s="31">
        <v>0</v>
      </c>
      <c r="F499" s="31">
        <v>0</v>
      </c>
      <c r="G499" s="31">
        <v>0</v>
      </c>
      <c r="H499" s="31">
        <v>0</v>
      </c>
      <c r="I499" s="31">
        <v>0</v>
      </c>
      <c r="J499" s="31">
        <v>0</v>
      </c>
      <c r="K499" s="31">
        <v>0</v>
      </c>
      <c r="L499" s="31">
        <v>0</v>
      </c>
      <c r="M499" s="31">
        <v>0</v>
      </c>
      <c r="N499" s="31">
        <v>0</v>
      </c>
      <c r="O499" s="31">
        <v>0</v>
      </c>
      <c r="P499" s="31">
        <v>0</v>
      </c>
      <c r="Q499" s="31">
        <v>0</v>
      </c>
      <c r="R499" s="31">
        <v>0</v>
      </c>
      <c r="S499" s="31">
        <v>0</v>
      </c>
      <c r="T499" s="31">
        <v>0</v>
      </c>
      <c r="U499" s="31">
        <v>0</v>
      </c>
      <c r="V499" s="31">
        <v>0</v>
      </c>
      <c r="W499" s="31">
        <v>0</v>
      </c>
      <c r="X499" s="31">
        <v>0</v>
      </c>
      <c r="Y499" s="30" t="s">
        <v>1199</v>
      </c>
      <c r="Z499" s="32" t="s">
        <v>34</v>
      </c>
      <c r="AA499" s="32" t="s">
        <v>293</v>
      </c>
      <c r="AB499" s="32" t="s">
        <v>293</v>
      </c>
      <c r="AC499" s="33"/>
    </row>
    <row r="500" spans="1:29" ht="40.5" x14ac:dyDescent="0.25">
      <c r="A500" s="28"/>
      <c r="B500" s="29"/>
      <c r="C500" s="30"/>
      <c r="D500" s="30"/>
      <c r="E500" s="31">
        <v>0</v>
      </c>
      <c r="F500" s="31">
        <v>0</v>
      </c>
      <c r="G500" s="31">
        <v>0</v>
      </c>
      <c r="H500" s="31">
        <v>0</v>
      </c>
      <c r="I500" s="31">
        <v>0</v>
      </c>
      <c r="J500" s="31">
        <v>0</v>
      </c>
      <c r="K500" s="31">
        <v>0</v>
      </c>
      <c r="L500" s="31">
        <v>0</v>
      </c>
      <c r="M500" s="31">
        <v>0</v>
      </c>
      <c r="N500" s="31">
        <v>0</v>
      </c>
      <c r="O500" s="31">
        <v>0</v>
      </c>
      <c r="P500" s="31">
        <v>0</v>
      </c>
      <c r="Q500" s="31">
        <v>0</v>
      </c>
      <c r="R500" s="31">
        <v>0</v>
      </c>
      <c r="S500" s="31">
        <v>0</v>
      </c>
      <c r="T500" s="31">
        <v>0</v>
      </c>
      <c r="U500" s="31">
        <v>0</v>
      </c>
      <c r="V500" s="31">
        <v>0</v>
      </c>
      <c r="W500" s="31">
        <v>0</v>
      </c>
      <c r="X500" s="31">
        <v>0</v>
      </c>
      <c r="Y500" s="30" t="s">
        <v>1200</v>
      </c>
      <c r="Z500" s="32" t="s">
        <v>34</v>
      </c>
      <c r="AA500" s="32" t="s">
        <v>108</v>
      </c>
      <c r="AB500" s="32" t="s">
        <v>108</v>
      </c>
      <c r="AC500" s="33"/>
    </row>
    <row r="501" spans="1:29" x14ac:dyDescent="0.25">
      <c r="A501" s="28"/>
      <c r="B501" s="29"/>
      <c r="C501" s="30"/>
      <c r="D501" s="30"/>
      <c r="E501" s="31">
        <v>0</v>
      </c>
      <c r="F501" s="31">
        <v>0</v>
      </c>
      <c r="G501" s="31">
        <v>0</v>
      </c>
      <c r="H501" s="31">
        <v>0</v>
      </c>
      <c r="I501" s="31">
        <v>0</v>
      </c>
      <c r="J501" s="31">
        <v>0</v>
      </c>
      <c r="K501" s="31">
        <v>0</v>
      </c>
      <c r="L501" s="31">
        <v>0</v>
      </c>
      <c r="M501" s="31">
        <v>0</v>
      </c>
      <c r="N501" s="31">
        <v>0</v>
      </c>
      <c r="O501" s="31">
        <v>0</v>
      </c>
      <c r="P501" s="31">
        <v>0</v>
      </c>
      <c r="Q501" s="31">
        <v>0</v>
      </c>
      <c r="R501" s="31">
        <v>0</v>
      </c>
      <c r="S501" s="31">
        <v>0</v>
      </c>
      <c r="T501" s="31">
        <v>0</v>
      </c>
      <c r="U501" s="31">
        <v>0</v>
      </c>
      <c r="V501" s="31">
        <v>0</v>
      </c>
      <c r="W501" s="31">
        <v>0</v>
      </c>
      <c r="X501" s="31">
        <v>0</v>
      </c>
      <c r="Y501" s="30" t="s">
        <v>1201</v>
      </c>
      <c r="Z501" s="32" t="s">
        <v>34</v>
      </c>
      <c r="AA501" s="32" t="s">
        <v>161</v>
      </c>
      <c r="AB501" s="32" t="s">
        <v>161</v>
      </c>
      <c r="AC501" s="33"/>
    </row>
    <row r="502" spans="1:29" ht="51.75" customHeight="1" x14ac:dyDescent="0.25">
      <c r="A502" s="21" t="s">
        <v>1202</v>
      </c>
      <c r="B502" s="22" t="s">
        <v>1203</v>
      </c>
      <c r="C502" s="23"/>
      <c r="D502" s="23" t="s">
        <v>1124</v>
      </c>
      <c r="E502" s="27">
        <v>0</v>
      </c>
      <c r="F502" s="27">
        <v>0</v>
      </c>
      <c r="G502" s="27">
        <v>0</v>
      </c>
      <c r="H502" s="27">
        <v>0</v>
      </c>
      <c r="I502" s="27">
        <v>0</v>
      </c>
      <c r="J502" s="27">
        <v>0</v>
      </c>
      <c r="K502" s="27">
        <v>0</v>
      </c>
      <c r="L502" s="27">
        <v>0</v>
      </c>
      <c r="M502" s="27">
        <v>0</v>
      </c>
      <c r="N502" s="27">
        <v>0</v>
      </c>
      <c r="O502" s="27">
        <v>0</v>
      </c>
      <c r="P502" s="27">
        <v>0</v>
      </c>
      <c r="Q502" s="27">
        <v>0</v>
      </c>
      <c r="R502" s="27">
        <v>0</v>
      </c>
      <c r="S502" s="27">
        <v>0</v>
      </c>
      <c r="T502" s="27">
        <v>0</v>
      </c>
      <c r="U502" s="27">
        <v>0</v>
      </c>
      <c r="V502" s="27">
        <v>0</v>
      </c>
      <c r="W502" s="27">
        <v>0</v>
      </c>
      <c r="X502" s="27">
        <v>0</v>
      </c>
      <c r="Y502" s="23"/>
      <c r="Z502" s="25"/>
      <c r="AA502" s="25"/>
      <c r="AB502" s="25"/>
      <c r="AC502" s="26"/>
    </row>
    <row r="503" spans="1:29" ht="81.75" customHeight="1" x14ac:dyDescent="0.25">
      <c r="A503" s="21" t="s">
        <v>1204</v>
      </c>
      <c r="B503" s="22" t="s">
        <v>1205</v>
      </c>
      <c r="C503" s="23"/>
      <c r="D503" s="23" t="s">
        <v>1124</v>
      </c>
      <c r="E503" s="27">
        <v>0</v>
      </c>
      <c r="F503" s="27">
        <v>0</v>
      </c>
      <c r="G503" s="27">
        <v>0</v>
      </c>
      <c r="H503" s="27">
        <v>0</v>
      </c>
      <c r="I503" s="27">
        <v>0</v>
      </c>
      <c r="J503" s="27">
        <v>0</v>
      </c>
      <c r="K503" s="27">
        <v>0</v>
      </c>
      <c r="L503" s="27">
        <v>0</v>
      </c>
      <c r="M503" s="27">
        <v>0</v>
      </c>
      <c r="N503" s="27">
        <v>0</v>
      </c>
      <c r="O503" s="27">
        <v>0</v>
      </c>
      <c r="P503" s="27">
        <v>0</v>
      </c>
      <c r="Q503" s="27">
        <v>0</v>
      </c>
      <c r="R503" s="27">
        <v>0</v>
      </c>
      <c r="S503" s="27">
        <v>0</v>
      </c>
      <c r="T503" s="27">
        <v>0</v>
      </c>
      <c r="U503" s="27">
        <v>0</v>
      </c>
      <c r="V503" s="27">
        <v>0</v>
      </c>
      <c r="W503" s="27">
        <v>0</v>
      </c>
      <c r="X503" s="27">
        <v>0</v>
      </c>
      <c r="Y503" s="23"/>
      <c r="Z503" s="25"/>
      <c r="AA503" s="25"/>
      <c r="AB503" s="25"/>
      <c r="AC503" s="26"/>
    </row>
    <row r="504" spans="1:29" ht="64.5" customHeight="1" x14ac:dyDescent="0.25">
      <c r="A504" s="21" t="s">
        <v>1206</v>
      </c>
      <c r="B504" s="22" t="s">
        <v>1207</v>
      </c>
      <c r="C504" s="23"/>
      <c r="D504" s="23" t="s">
        <v>1124</v>
      </c>
      <c r="E504" s="27">
        <v>0</v>
      </c>
      <c r="F504" s="27">
        <v>0</v>
      </c>
      <c r="G504" s="27">
        <v>0</v>
      </c>
      <c r="H504" s="27">
        <v>0</v>
      </c>
      <c r="I504" s="27">
        <v>0</v>
      </c>
      <c r="J504" s="27">
        <v>0</v>
      </c>
      <c r="K504" s="27">
        <v>0</v>
      </c>
      <c r="L504" s="27">
        <v>0</v>
      </c>
      <c r="M504" s="27">
        <v>0</v>
      </c>
      <c r="N504" s="27">
        <v>0</v>
      </c>
      <c r="O504" s="27">
        <v>0</v>
      </c>
      <c r="P504" s="27">
        <v>0</v>
      </c>
      <c r="Q504" s="27">
        <v>0</v>
      </c>
      <c r="R504" s="27">
        <v>0</v>
      </c>
      <c r="S504" s="27">
        <v>0</v>
      </c>
      <c r="T504" s="27">
        <v>0</v>
      </c>
      <c r="U504" s="27">
        <v>0</v>
      </c>
      <c r="V504" s="27">
        <v>0</v>
      </c>
      <c r="W504" s="27">
        <v>0</v>
      </c>
      <c r="X504" s="27">
        <v>0</v>
      </c>
      <c r="Y504" s="23"/>
      <c r="Z504" s="25"/>
      <c r="AA504" s="25"/>
      <c r="AB504" s="25"/>
      <c r="AC504" s="26"/>
    </row>
    <row r="505" spans="1:29" ht="68.25" customHeight="1" x14ac:dyDescent="0.25">
      <c r="A505" s="21" t="s">
        <v>1208</v>
      </c>
      <c r="B505" s="22" t="s">
        <v>1209</v>
      </c>
      <c r="C505" s="23"/>
      <c r="D505" s="23" t="s">
        <v>1124</v>
      </c>
      <c r="E505" s="27">
        <v>0</v>
      </c>
      <c r="F505" s="27">
        <v>0</v>
      </c>
      <c r="G505" s="27">
        <v>0</v>
      </c>
      <c r="H505" s="27">
        <v>0</v>
      </c>
      <c r="I505" s="27">
        <v>0</v>
      </c>
      <c r="J505" s="27">
        <v>0</v>
      </c>
      <c r="K505" s="27">
        <v>0</v>
      </c>
      <c r="L505" s="27">
        <v>0</v>
      </c>
      <c r="M505" s="27">
        <v>0</v>
      </c>
      <c r="N505" s="27">
        <v>0</v>
      </c>
      <c r="O505" s="27">
        <v>0</v>
      </c>
      <c r="P505" s="27">
        <v>0</v>
      </c>
      <c r="Q505" s="27">
        <v>0</v>
      </c>
      <c r="R505" s="27">
        <v>0</v>
      </c>
      <c r="S505" s="27">
        <v>0</v>
      </c>
      <c r="T505" s="27">
        <v>0</v>
      </c>
      <c r="U505" s="27">
        <v>0</v>
      </c>
      <c r="V505" s="27">
        <v>0</v>
      </c>
      <c r="W505" s="27">
        <v>0</v>
      </c>
      <c r="X505" s="27">
        <v>0</v>
      </c>
      <c r="Y505" s="23"/>
      <c r="Z505" s="25"/>
      <c r="AA505" s="25"/>
      <c r="AB505" s="25"/>
      <c r="AC505" s="26"/>
    </row>
    <row r="506" spans="1:29" ht="48" customHeight="1" x14ac:dyDescent="0.25">
      <c r="A506" s="3" t="s">
        <v>1210</v>
      </c>
      <c r="B506" s="4" t="s">
        <v>1211</v>
      </c>
      <c r="C506" s="5" t="s">
        <v>1212</v>
      </c>
      <c r="D506" s="5" t="s">
        <v>1213</v>
      </c>
      <c r="E506" s="6">
        <f t="shared" ref="E506:X506" si="271">E507+E551+E592+E605+E609</f>
        <v>4595871.68</v>
      </c>
      <c r="F506" s="6">
        <f t="shared" si="271"/>
        <v>2549337</v>
      </c>
      <c r="G506" s="6">
        <f t="shared" si="271"/>
        <v>56659</v>
      </c>
      <c r="H506" s="6">
        <f t="shared" si="271"/>
        <v>0</v>
      </c>
      <c r="I506" s="6">
        <f t="shared" si="271"/>
        <v>1747377.95</v>
      </c>
      <c r="J506" s="6">
        <f t="shared" si="271"/>
        <v>0</v>
      </c>
      <c r="K506" s="6">
        <f t="shared" si="271"/>
        <v>180502.78</v>
      </c>
      <c r="L506" s="6">
        <f t="shared" si="271"/>
        <v>61994.95</v>
      </c>
      <c r="M506" s="6">
        <f t="shared" si="271"/>
        <v>0</v>
      </c>
      <c r="N506" s="6">
        <f t="shared" si="271"/>
        <v>0</v>
      </c>
      <c r="O506" s="6">
        <f t="shared" si="271"/>
        <v>4279733.1500000004</v>
      </c>
      <c r="P506" s="6">
        <f t="shared" si="271"/>
        <v>2507153.8400000003</v>
      </c>
      <c r="Q506" s="6">
        <f t="shared" si="271"/>
        <v>45683.37</v>
      </c>
      <c r="R506" s="6">
        <f t="shared" si="271"/>
        <v>0</v>
      </c>
      <c r="S506" s="6">
        <f t="shared" si="271"/>
        <v>1514581.68</v>
      </c>
      <c r="T506" s="6">
        <f t="shared" si="271"/>
        <v>0</v>
      </c>
      <c r="U506" s="6">
        <f t="shared" si="271"/>
        <v>152966.44999999998</v>
      </c>
      <c r="V506" s="6">
        <f t="shared" si="271"/>
        <v>59148</v>
      </c>
      <c r="W506" s="6">
        <f t="shared" si="271"/>
        <v>0</v>
      </c>
      <c r="X506" s="6">
        <f t="shared" si="271"/>
        <v>0</v>
      </c>
      <c r="Y506" s="5"/>
      <c r="Z506" s="7"/>
      <c r="AA506" s="7"/>
      <c r="AB506" s="7"/>
      <c r="AC506" s="8"/>
    </row>
    <row r="507" spans="1:29" ht="74.25" customHeight="1" x14ac:dyDescent="0.25">
      <c r="A507" s="9" t="s">
        <v>1214</v>
      </c>
      <c r="B507" s="10" t="s">
        <v>534</v>
      </c>
      <c r="C507" s="11" t="s">
        <v>1212</v>
      </c>
      <c r="D507" s="11" t="s">
        <v>1213</v>
      </c>
      <c r="E507" s="12">
        <f t="shared" ref="E507:X507" si="272">E508+E531+E536+E546</f>
        <v>1377587.95</v>
      </c>
      <c r="F507" s="12">
        <f t="shared" si="272"/>
        <v>720617</v>
      </c>
      <c r="G507" s="12">
        <f t="shared" si="272"/>
        <v>9000</v>
      </c>
      <c r="H507" s="12">
        <f t="shared" si="272"/>
        <v>0</v>
      </c>
      <c r="I507" s="12">
        <f t="shared" si="272"/>
        <v>441427.95</v>
      </c>
      <c r="J507" s="12">
        <f t="shared" si="272"/>
        <v>0</v>
      </c>
      <c r="K507" s="12">
        <f t="shared" si="272"/>
        <v>144548.04999999999</v>
      </c>
      <c r="L507" s="12">
        <f t="shared" si="272"/>
        <v>61994.95</v>
      </c>
      <c r="M507" s="12">
        <f t="shared" si="272"/>
        <v>0</v>
      </c>
      <c r="N507" s="12">
        <f t="shared" si="272"/>
        <v>0</v>
      </c>
      <c r="O507" s="12">
        <f t="shared" si="272"/>
        <v>1387204.9000000001</v>
      </c>
      <c r="P507" s="12">
        <f t="shared" si="272"/>
        <v>693127.50000000012</v>
      </c>
      <c r="Q507" s="12">
        <f t="shared" si="272"/>
        <v>9000</v>
      </c>
      <c r="R507" s="12">
        <f t="shared" si="272"/>
        <v>0</v>
      </c>
      <c r="S507" s="12">
        <f t="shared" si="272"/>
        <v>481428</v>
      </c>
      <c r="T507" s="12">
        <f t="shared" si="272"/>
        <v>0</v>
      </c>
      <c r="U507" s="12">
        <f t="shared" si="272"/>
        <v>144501.4</v>
      </c>
      <c r="V507" s="12">
        <f t="shared" si="272"/>
        <v>59148</v>
      </c>
      <c r="W507" s="12">
        <f t="shared" si="272"/>
        <v>0</v>
      </c>
      <c r="X507" s="12">
        <f t="shared" si="272"/>
        <v>0</v>
      </c>
      <c r="Y507" s="11"/>
      <c r="Z507" s="13"/>
      <c r="AA507" s="13"/>
      <c r="AB507" s="13"/>
      <c r="AC507" s="14"/>
    </row>
    <row r="508" spans="1:29" ht="55.5" customHeight="1" x14ac:dyDescent="0.25">
      <c r="A508" s="15" t="s">
        <v>1215</v>
      </c>
      <c r="B508" s="16" t="s">
        <v>1216</v>
      </c>
      <c r="C508" s="17"/>
      <c r="D508" s="17" t="s">
        <v>1217</v>
      </c>
      <c r="E508" s="18">
        <f t="shared" ref="E508:X508" si="273">E509+E512+E518+E520+E522+E526+E528</f>
        <v>1195474.95</v>
      </c>
      <c r="F508" s="18">
        <f t="shared" si="273"/>
        <v>616799</v>
      </c>
      <c r="G508" s="18">
        <f t="shared" si="273"/>
        <v>9000</v>
      </c>
      <c r="H508" s="18">
        <f t="shared" si="273"/>
        <v>0</v>
      </c>
      <c r="I508" s="18">
        <f t="shared" si="273"/>
        <v>422127.95</v>
      </c>
      <c r="J508" s="18">
        <f t="shared" si="273"/>
        <v>0</v>
      </c>
      <c r="K508" s="18">
        <f t="shared" si="273"/>
        <v>144548.04999999999</v>
      </c>
      <c r="L508" s="18">
        <f t="shared" si="273"/>
        <v>2999.95</v>
      </c>
      <c r="M508" s="18">
        <f t="shared" si="273"/>
        <v>0</v>
      </c>
      <c r="N508" s="18">
        <f t="shared" si="273"/>
        <v>0</v>
      </c>
      <c r="O508" s="18">
        <f t="shared" si="273"/>
        <v>1183100.8700000001</v>
      </c>
      <c r="P508" s="18">
        <f t="shared" si="273"/>
        <v>564471.47000000009</v>
      </c>
      <c r="Q508" s="18">
        <f t="shared" si="273"/>
        <v>9000</v>
      </c>
      <c r="R508" s="18">
        <f t="shared" si="273"/>
        <v>0</v>
      </c>
      <c r="S508" s="18">
        <f t="shared" si="273"/>
        <v>462128</v>
      </c>
      <c r="T508" s="18">
        <f t="shared" si="273"/>
        <v>0</v>
      </c>
      <c r="U508" s="18">
        <f t="shared" si="273"/>
        <v>144501.4</v>
      </c>
      <c r="V508" s="18">
        <f t="shared" si="273"/>
        <v>3000</v>
      </c>
      <c r="W508" s="18">
        <f t="shared" si="273"/>
        <v>0</v>
      </c>
      <c r="X508" s="18">
        <f t="shared" si="273"/>
        <v>0</v>
      </c>
      <c r="Y508" s="17"/>
      <c r="Z508" s="19"/>
      <c r="AA508" s="19"/>
      <c r="AB508" s="19"/>
      <c r="AC508" s="20"/>
    </row>
    <row r="509" spans="1:29" ht="55.5" customHeight="1" x14ac:dyDescent="0.25">
      <c r="A509" s="21" t="s">
        <v>1218</v>
      </c>
      <c r="B509" s="22" t="s">
        <v>1219</v>
      </c>
      <c r="C509" s="23" t="s">
        <v>1212</v>
      </c>
      <c r="D509" s="23" t="s">
        <v>1213</v>
      </c>
      <c r="E509" s="24">
        <f>SUM(E510:E511)+147548</f>
        <v>147548</v>
      </c>
      <c r="F509" s="24">
        <f>SUM(F510:F511)</f>
        <v>0</v>
      </c>
      <c r="G509" s="24">
        <f>SUM(G510:G511)</f>
        <v>0</v>
      </c>
      <c r="H509" s="24">
        <f>SUM(H510:H511)</f>
        <v>0</v>
      </c>
      <c r="I509" s="24">
        <f>SUM(I510:I511)</f>
        <v>0</v>
      </c>
      <c r="J509" s="24">
        <f>SUM(J510:J511)</f>
        <v>0</v>
      </c>
      <c r="K509" s="24">
        <f>SUM(K510:K511)+144548.05</f>
        <v>144548.04999999999</v>
      </c>
      <c r="L509" s="24">
        <f>SUM(L510:L511)+2999.95</f>
        <v>2999.95</v>
      </c>
      <c r="M509" s="24">
        <f>SUM(M510:M511)</f>
        <v>0</v>
      </c>
      <c r="N509" s="24">
        <f>SUM(N510:N511)</f>
        <v>0</v>
      </c>
      <c r="O509" s="24">
        <f>SUM(O510:O511)+147501.4</f>
        <v>147501.4</v>
      </c>
      <c r="P509" s="24">
        <f>SUM(P510:P511)</f>
        <v>0</v>
      </c>
      <c r="Q509" s="24">
        <f>SUM(Q510:Q511)</f>
        <v>0</v>
      </c>
      <c r="R509" s="24">
        <f>SUM(R510:R511)</f>
        <v>0</v>
      </c>
      <c r="S509" s="24">
        <f>SUM(S510:S511)</f>
        <v>0</v>
      </c>
      <c r="T509" s="24">
        <f>SUM(T510:T511)</f>
        <v>0</v>
      </c>
      <c r="U509" s="24">
        <f>SUM(U510:U511)+144501.4</f>
        <v>144501.4</v>
      </c>
      <c r="V509" s="24">
        <f>SUM(V510:V511)+3000</f>
        <v>3000</v>
      </c>
      <c r="W509" s="24">
        <f>SUM(W510:W511)</f>
        <v>0</v>
      </c>
      <c r="X509" s="24">
        <f>SUM(X510:X511)</f>
        <v>0</v>
      </c>
      <c r="Y509" s="23" t="s">
        <v>1220</v>
      </c>
      <c r="Z509" s="25" t="s">
        <v>34</v>
      </c>
      <c r="AA509" s="25" t="s">
        <v>1221</v>
      </c>
      <c r="AB509" s="25" t="s">
        <v>1222</v>
      </c>
      <c r="AC509" s="26" t="s">
        <v>1223</v>
      </c>
    </row>
    <row r="510" spans="1:29" ht="79.5" customHeight="1" x14ac:dyDescent="0.25">
      <c r="A510" s="21" t="s">
        <v>1224</v>
      </c>
      <c r="B510" s="22" t="s">
        <v>1225</v>
      </c>
      <c r="C510" s="23"/>
      <c r="D510" s="23" t="s">
        <v>1217</v>
      </c>
      <c r="E510" s="27">
        <v>0</v>
      </c>
      <c r="F510" s="27">
        <v>0</v>
      </c>
      <c r="G510" s="27">
        <v>0</v>
      </c>
      <c r="H510" s="27">
        <v>0</v>
      </c>
      <c r="I510" s="27">
        <v>0</v>
      </c>
      <c r="J510" s="27">
        <v>0</v>
      </c>
      <c r="K510" s="27">
        <v>0</v>
      </c>
      <c r="L510" s="27">
        <v>0</v>
      </c>
      <c r="M510" s="27">
        <v>0</v>
      </c>
      <c r="N510" s="27">
        <v>0</v>
      </c>
      <c r="O510" s="27">
        <v>0</v>
      </c>
      <c r="P510" s="27">
        <v>0</v>
      </c>
      <c r="Q510" s="27">
        <v>0</v>
      </c>
      <c r="R510" s="27">
        <v>0</v>
      </c>
      <c r="S510" s="27">
        <v>0</v>
      </c>
      <c r="T510" s="27">
        <v>0</v>
      </c>
      <c r="U510" s="27">
        <v>0</v>
      </c>
      <c r="V510" s="27">
        <v>0</v>
      </c>
      <c r="W510" s="27">
        <v>0</v>
      </c>
      <c r="X510" s="27">
        <v>0</v>
      </c>
      <c r="Y510" s="23"/>
      <c r="Z510" s="25"/>
      <c r="AA510" s="25"/>
      <c r="AB510" s="25"/>
      <c r="AC510" s="26"/>
    </row>
    <row r="511" spans="1:29" ht="75.75" customHeight="1" x14ac:dyDescent="0.25">
      <c r="A511" s="21" t="s">
        <v>1226</v>
      </c>
      <c r="B511" s="22" t="s">
        <v>1227</v>
      </c>
      <c r="C511" s="23"/>
      <c r="D511" s="23" t="s">
        <v>1217</v>
      </c>
      <c r="E511" s="27">
        <v>0</v>
      </c>
      <c r="F511" s="27">
        <v>0</v>
      </c>
      <c r="G511" s="27">
        <v>0</v>
      </c>
      <c r="H511" s="27">
        <v>0</v>
      </c>
      <c r="I511" s="27">
        <v>0</v>
      </c>
      <c r="J511" s="27">
        <v>0</v>
      </c>
      <c r="K511" s="27">
        <v>0</v>
      </c>
      <c r="L511" s="27">
        <v>0</v>
      </c>
      <c r="M511" s="27">
        <v>0</v>
      </c>
      <c r="N511" s="27">
        <v>0</v>
      </c>
      <c r="O511" s="27">
        <v>0</v>
      </c>
      <c r="P511" s="27">
        <v>0</v>
      </c>
      <c r="Q511" s="27">
        <v>0</v>
      </c>
      <c r="R511" s="27">
        <v>0</v>
      </c>
      <c r="S511" s="27">
        <v>0</v>
      </c>
      <c r="T511" s="27">
        <v>0</v>
      </c>
      <c r="U511" s="27">
        <v>0</v>
      </c>
      <c r="V511" s="27">
        <v>0</v>
      </c>
      <c r="W511" s="27">
        <v>0</v>
      </c>
      <c r="X511" s="27">
        <v>0</v>
      </c>
      <c r="Y511" s="23"/>
      <c r="Z511" s="25"/>
      <c r="AA511" s="25"/>
      <c r="AB511" s="25"/>
      <c r="AC511" s="26"/>
    </row>
    <row r="512" spans="1:29" ht="68.25" customHeight="1" x14ac:dyDescent="0.25">
      <c r="A512" s="21" t="s">
        <v>1228</v>
      </c>
      <c r="B512" s="22" t="s">
        <v>1229</v>
      </c>
      <c r="C512" s="23"/>
      <c r="D512" s="23" t="s">
        <v>1213</v>
      </c>
      <c r="E512" s="24">
        <f>SUM(E513:E517)+150649</f>
        <v>150649</v>
      </c>
      <c r="F512" s="24">
        <f>SUM(F513:F517)+56091</f>
        <v>56091</v>
      </c>
      <c r="G512" s="24">
        <f>SUM(G513:G517)+9000</f>
        <v>9000</v>
      </c>
      <c r="H512" s="24">
        <f>SUM(H513:H517)</f>
        <v>0</v>
      </c>
      <c r="I512" s="24">
        <f>SUM(I513:I517)+85558</f>
        <v>85558</v>
      </c>
      <c r="J512" s="24">
        <f>SUM(J513:J517)</f>
        <v>0</v>
      </c>
      <c r="K512" s="24">
        <f>SUM(K513:K517)</f>
        <v>0</v>
      </c>
      <c r="L512" s="24">
        <f>SUM(L513:L517)</f>
        <v>0</v>
      </c>
      <c r="M512" s="24">
        <f>SUM(M513:M517)</f>
        <v>0</v>
      </c>
      <c r="N512" s="24">
        <f>SUM(N513:N517)</f>
        <v>0</v>
      </c>
      <c r="O512" s="24">
        <f>SUM(O513:O517)+150649</f>
        <v>150649</v>
      </c>
      <c r="P512" s="24">
        <f>SUM(P513:P517)+56091</f>
        <v>56091</v>
      </c>
      <c r="Q512" s="24">
        <f>SUM(Q513:Q517)+9000</f>
        <v>9000</v>
      </c>
      <c r="R512" s="24">
        <f>SUM(R513:R517)</f>
        <v>0</v>
      </c>
      <c r="S512" s="24">
        <f>SUM(S513:S517)+85558</f>
        <v>85558</v>
      </c>
      <c r="T512" s="24">
        <f>SUM(T513:T517)</f>
        <v>0</v>
      </c>
      <c r="U512" s="24">
        <f>SUM(U513:U517)</f>
        <v>0</v>
      </c>
      <c r="V512" s="24">
        <f>SUM(V513:V517)</f>
        <v>0</v>
      </c>
      <c r="W512" s="24">
        <f>SUM(W513:W517)</f>
        <v>0</v>
      </c>
      <c r="X512" s="24">
        <f>SUM(X513:X517)</f>
        <v>0</v>
      </c>
      <c r="Y512" s="23" t="s">
        <v>1230</v>
      </c>
      <c r="Z512" s="25" t="s">
        <v>34</v>
      </c>
      <c r="AA512" s="25" t="s">
        <v>1231</v>
      </c>
      <c r="AB512" s="25" t="s">
        <v>164</v>
      </c>
      <c r="AC512" s="26" t="s">
        <v>1223</v>
      </c>
    </row>
    <row r="513" spans="1:29" ht="75.75" customHeight="1" x14ac:dyDescent="0.25">
      <c r="A513" s="28"/>
      <c r="B513" s="29"/>
      <c r="C513" s="30"/>
      <c r="D513" s="30"/>
      <c r="E513" s="31">
        <v>0</v>
      </c>
      <c r="F513" s="31">
        <v>0</v>
      </c>
      <c r="G513" s="31">
        <v>0</v>
      </c>
      <c r="H513" s="31">
        <v>0</v>
      </c>
      <c r="I513" s="31">
        <v>0</v>
      </c>
      <c r="J513" s="31">
        <v>0</v>
      </c>
      <c r="K513" s="31">
        <v>0</v>
      </c>
      <c r="L513" s="31">
        <v>0</v>
      </c>
      <c r="M513" s="31">
        <v>0</v>
      </c>
      <c r="N513" s="31">
        <v>0</v>
      </c>
      <c r="O513" s="31">
        <v>0</v>
      </c>
      <c r="P513" s="31">
        <v>0</v>
      </c>
      <c r="Q513" s="31">
        <v>0</v>
      </c>
      <c r="R513" s="31">
        <v>0</v>
      </c>
      <c r="S513" s="31">
        <v>0</v>
      </c>
      <c r="T513" s="31">
        <v>0</v>
      </c>
      <c r="U513" s="31">
        <v>0</v>
      </c>
      <c r="V513" s="31">
        <v>0</v>
      </c>
      <c r="W513" s="31">
        <v>0</v>
      </c>
      <c r="X513" s="31">
        <v>0</v>
      </c>
      <c r="Y513" s="30" t="s">
        <v>1232</v>
      </c>
      <c r="Z513" s="32" t="s">
        <v>34</v>
      </c>
      <c r="AA513" s="32" t="s">
        <v>293</v>
      </c>
      <c r="AB513" s="32" t="s">
        <v>753</v>
      </c>
      <c r="AC513" s="33" t="s">
        <v>1223</v>
      </c>
    </row>
    <row r="514" spans="1:29" ht="60.75" x14ac:dyDescent="0.25">
      <c r="A514" s="28"/>
      <c r="B514" s="29"/>
      <c r="C514" s="30"/>
      <c r="D514" s="30"/>
      <c r="E514" s="31">
        <v>0</v>
      </c>
      <c r="F514" s="31">
        <v>0</v>
      </c>
      <c r="G514" s="31">
        <v>0</v>
      </c>
      <c r="H514" s="31">
        <v>0</v>
      </c>
      <c r="I514" s="31">
        <v>0</v>
      </c>
      <c r="J514" s="31">
        <v>0</v>
      </c>
      <c r="K514" s="31">
        <v>0</v>
      </c>
      <c r="L514" s="31">
        <v>0</v>
      </c>
      <c r="M514" s="31">
        <v>0</v>
      </c>
      <c r="N514" s="31">
        <v>0</v>
      </c>
      <c r="O514" s="31">
        <v>0</v>
      </c>
      <c r="P514" s="31">
        <v>0</v>
      </c>
      <c r="Q514" s="31">
        <v>0</v>
      </c>
      <c r="R514" s="31">
        <v>0</v>
      </c>
      <c r="S514" s="31">
        <v>0</v>
      </c>
      <c r="T514" s="31">
        <v>0</v>
      </c>
      <c r="U514" s="31">
        <v>0</v>
      </c>
      <c r="V514" s="31">
        <v>0</v>
      </c>
      <c r="W514" s="31">
        <v>0</v>
      </c>
      <c r="X514" s="31">
        <v>0</v>
      </c>
      <c r="Y514" s="30" t="s">
        <v>1233</v>
      </c>
      <c r="Z514" s="32" t="s">
        <v>34</v>
      </c>
      <c r="AA514" s="32" t="s">
        <v>79</v>
      </c>
      <c r="AB514" s="32" t="s">
        <v>1234</v>
      </c>
      <c r="AC514" s="33" t="s">
        <v>1223</v>
      </c>
    </row>
    <row r="515" spans="1:29" ht="75.75" customHeight="1" x14ac:dyDescent="0.25">
      <c r="A515" s="21" t="s">
        <v>1235</v>
      </c>
      <c r="B515" s="22" t="s">
        <v>1236</v>
      </c>
      <c r="C515" s="23"/>
      <c r="D515" s="23" t="s">
        <v>1213</v>
      </c>
      <c r="E515" s="27">
        <v>0</v>
      </c>
      <c r="F515" s="27">
        <v>0</v>
      </c>
      <c r="G515" s="27">
        <v>0</v>
      </c>
      <c r="H515" s="27">
        <v>0</v>
      </c>
      <c r="I515" s="27">
        <v>0</v>
      </c>
      <c r="J515" s="27">
        <v>0</v>
      </c>
      <c r="K515" s="27">
        <v>0</v>
      </c>
      <c r="L515" s="27">
        <v>0</v>
      </c>
      <c r="M515" s="27">
        <v>0</v>
      </c>
      <c r="N515" s="27">
        <v>0</v>
      </c>
      <c r="O515" s="27">
        <v>0</v>
      </c>
      <c r="P515" s="27">
        <v>0</v>
      </c>
      <c r="Q515" s="27">
        <v>0</v>
      </c>
      <c r="R515" s="27">
        <v>0</v>
      </c>
      <c r="S515" s="27">
        <v>0</v>
      </c>
      <c r="T515" s="27">
        <v>0</v>
      </c>
      <c r="U515" s="27">
        <v>0</v>
      </c>
      <c r="V515" s="27">
        <v>0</v>
      </c>
      <c r="W515" s="27">
        <v>0</v>
      </c>
      <c r="X515" s="27">
        <v>0</v>
      </c>
      <c r="Y515" s="23"/>
      <c r="Z515" s="25"/>
      <c r="AA515" s="25"/>
      <c r="AB515" s="25"/>
      <c r="AC515" s="26"/>
    </row>
    <row r="516" spans="1:29" ht="78" customHeight="1" x14ac:dyDescent="0.25">
      <c r="A516" s="21" t="s">
        <v>1237</v>
      </c>
      <c r="B516" s="22" t="s">
        <v>1238</v>
      </c>
      <c r="C516" s="23"/>
      <c r="D516" s="23" t="s">
        <v>1213</v>
      </c>
      <c r="E516" s="27">
        <v>0</v>
      </c>
      <c r="F516" s="27">
        <v>0</v>
      </c>
      <c r="G516" s="27">
        <v>0</v>
      </c>
      <c r="H516" s="27">
        <v>0</v>
      </c>
      <c r="I516" s="27">
        <v>0</v>
      </c>
      <c r="J516" s="27">
        <v>0</v>
      </c>
      <c r="K516" s="27">
        <v>0</v>
      </c>
      <c r="L516" s="27">
        <v>0</v>
      </c>
      <c r="M516" s="27">
        <v>0</v>
      </c>
      <c r="N516" s="27">
        <v>0</v>
      </c>
      <c r="O516" s="27">
        <v>0</v>
      </c>
      <c r="P516" s="27">
        <v>0</v>
      </c>
      <c r="Q516" s="27">
        <v>0</v>
      </c>
      <c r="R516" s="27">
        <v>0</v>
      </c>
      <c r="S516" s="27">
        <v>0</v>
      </c>
      <c r="T516" s="27">
        <v>0</v>
      </c>
      <c r="U516" s="27">
        <v>0</v>
      </c>
      <c r="V516" s="27">
        <v>0</v>
      </c>
      <c r="W516" s="27">
        <v>0</v>
      </c>
      <c r="X516" s="27">
        <v>0</v>
      </c>
      <c r="Y516" s="23"/>
      <c r="Z516" s="25"/>
      <c r="AA516" s="25"/>
      <c r="AB516" s="25"/>
      <c r="AC516" s="26"/>
    </row>
    <row r="517" spans="1:29" ht="74.25" customHeight="1" x14ac:dyDescent="0.25">
      <c r="A517" s="21" t="s">
        <v>1239</v>
      </c>
      <c r="B517" s="22" t="s">
        <v>1240</v>
      </c>
      <c r="C517" s="23"/>
      <c r="D517" s="23" t="s">
        <v>1213</v>
      </c>
      <c r="E517" s="27">
        <v>0</v>
      </c>
      <c r="F517" s="27">
        <v>0</v>
      </c>
      <c r="G517" s="27">
        <v>0</v>
      </c>
      <c r="H517" s="27">
        <v>0</v>
      </c>
      <c r="I517" s="27">
        <v>0</v>
      </c>
      <c r="J517" s="27">
        <v>0</v>
      </c>
      <c r="K517" s="27">
        <v>0</v>
      </c>
      <c r="L517" s="27">
        <v>0</v>
      </c>
      <c r="M517" s="27">
        <v>0</v>
      </c>
      <c r="N517" s="27">
        <v>0</v>
      </c>
      <c r="O517" s="27">
        <v>0</v>
      </c>
      <c r="P517" s="27">
        <v>0</v>
      </c>
      <c r="Q517" s="27">
        <v>0</v>
      </c>
      <c r="R517" s="27">
        <v>0</v>
      </c>
      <c r="S517" s="27">
        <v>0</v>
      </c>
      <c r="T517" s="27">
        <v>0</v>
      </c>
      <c r="U517" s="27">
        <v>0</v>
      </c>
      <c r="V517" s="27">
        <v>0</v>
      </c>
      <c r="W517" s="27">
        <v>0</v>
      </c>
      <c r="X517" s="27">
        <v>0</v>
      </c>
      <c r="Y517" s="23"/>
      <c r="Z517" s="25"/>
      <c r="AA517" s="25"/>
      <c r="AB517" s="25"/>
      <c r="AC517" s="26"/>
    </row>
    <row r="518" spans="1:29" ht="74.25" customHeight="1" x14ac:dyDescent="0.25">
      <c r="A518" s="21" t="s">
        <v>1241</v>
      </c>
      <c r="B518" s="22" t="s">
        <v>1242</v>
      </c>
      <c r="C518" s="23"/>
      <c r="D518" s="23" t="s">
        <v>1213</v>
      </c>
      <c r="E518" s="24">
        <f>SUM(E519:E519)+130331</f>
        <v>130331</v>
      </c>
      <c r="F518" s="24">
        <f>SUM(F519:F519)+130331</f>
        <v>130331</v>
      </c>
      <c r="G518" s="24">
        <f t="shared" ref="G518:N518" si="274">SUM(G519:G519)</f>
        <v>0</v>
      </c>
      <c r="H518" s="24">
        <f t="shared" si="274"/>
        <v>0</v>
      </c>
      <c r="I518" s="24">
        <f t="shared" si="274"/>
        <v>0</v>
      </c>
      <c r="J518" s="24">
        <f t="shared" si="274"/>
        <v>0</v>
      </c>
      <c r="K518" s="24">
        <f t="shared" si="274"/>
        <v>0</v>
      </c>
      <c r="L518" s="24">
        <f t="shared" si="274"/>
        <v>0</v>
      </c>
      <c r="M518" s="24">
        <f t="shared" si="274"/>
        <v>0</v>
      </c>
      <c r="N518" s="24">
        <f t="shared" si="274"/>
        <v>0</v>
      </c>
      <c r="O518" s="24">
        <f>SUM(O519:O519)+122490.88</f>
        <v>122490.88</v>
      </c>
      <c r="P518" s="24">
        <f>SUM(P519:P519)+122490.88</f>
        <v>122490.88</v>
      </c>
      <c r="Q518" s="24">
        <f t="shared" ref="Q518:X518" si="275">SUM(Q519:Q519)</f>
        <v>0</v>
      </c>
      <c r="R518" s="24">
        <f t="shared" si="275"/>
        <v>0</v>
      </c>
      <c r="S518" s="24">
        <f t="shared" si="275"/>
        <v>0</v>
      </c>
      <c r="T518" s="24">
        <f t="shared" si="275"/>
        <v>0</v>
      </c>
      <c r="U518" s="24">
        <f t="shared" si="275"/>
        <v>0</v>
      </c>
      <c r="V518" s="24">
        <f t="shared" si="275"/>
        <v>0</v>
      </c>
      <c r="W518" s="24">
        <f t="shared" si="275"/>
        <v>0</v>
      </c>
      <c r="X518" s="24">
        <f t="shared" si="275"/>
        <v>0</v>
      </c>
      <c r="Y518" s="23" t="s">
        <v>1243</v>
      </c>
      <c r="Z518" s="25" t="s">
        <v>34</v>
      </c>
      <c r="AA518" s="25" t="s">
        <v>165</v>
      </c>
      <c r="AB518" s="25" t="s">
        <v>79</v>
      </c>
      <c r="AC518" s="26" t="s">
        <v>1244</v>
      </c>
    </row>
    <row r="519" spans="1:29" ht="69" customHeight="1" x14ac:dyDescent="0.25">
      <c r="A519" s="21" t="s">
        <v>1245</v>
      </c>
      <c r="B519" s="22" t="s">
        <v>1246</v>
      </c>
      <c r="C519" s="23"/>
      <c r="D519" s="23" t="s">
        <v>1213</v>
      </c>
      <c r="E519" s="27">
        <v>0</v>
      </c>
      <c r="F519" s="27">
        <v>0</v>
      </c>
      <c r="G519" s="27">
        <v>0</v>
      </c>
      <c r="H519" s="27">
        <v>0</v>
      </c>
      <c r="I519" s="27">
        <v>0</v>
      </c>
      <c r="J519" s="27">
        <v>0</v>
      </c>
      <c r="K519" s="27">
        <v>0</v>
      </c>
      <c r="L519" s="27">
        <v>0</v>
      </c>
      <c r="M519" s="27">
        <v>0</v>
      </c>
      <c r="N519" s="27">
        <v>0</v>
      </c>
      <c r="O519" s="27">
        <v>0</v>
      </c>
      <c r="P519" s="27">
        <v>0</v>
      </c>
      <c r="Q519" s="27">
        <v>0</v>
      </c>
      <c r="R519" s="27">
        <v>0</v>
      </c>
      <c r="S519" s="27">
        <v>0</v>
      </c>
      <c r="T519" s="27">
        <v>0</v>
      </c>
      <c r="U519" s="27">
        <v>0</v>
      </c>
      <c r="V519" s="27">
        <v>0</v>
      </c>
      <c r="W519" s="27">
        <v>0</v>
      </c>
      <c r="X519" s="27">
        <v>0</v>
      </c>
      <c r="Y519" s="23"/>
      <c r="Z519" s="25"/>
      <c r="AA519" s="25"/>
      <c r="AB519" s="25"/>
      <c r="AC519" s="26"/>
    </row>
    <row r="520" spans="1:29" ht="70.5" customHeight="1" x14ac:dyDescent="0.25">
      <c r="A520" s="21" t="s">
        <v>1247</v>
      </c>
      <c r="B520" s="22" t="s">
        <v>1248</v>
      </c>
      <c r="C520" s="23"/>
      <c r="D520" s="23" t="s">
        <v>1213</v>
      </c>
      <c r="E520" s="24">
        <f>SUM(E521:E521)+176800</f>
        <v>176800</v>
      </c>
      <c r="F520" s="24">
        <f>SUM(F521:F521)+176800</f>
        <v>176800</v>
      </c>
      <c r="G520" s="24">
        <f t="shared" ref="G520:N520" si="276">SUM(G521:G521)</f>
        <v>0</v>
      </c>
      <c r="H520" s="24">
        <f t="shared" si="276"/>
        <v>0</v>
      </c>
      <c r="I520" s="24">
        <f t="shared" si="276"/>
        <v>0</v>
      </c>
      <c r="J520" s="24">
        <f t="shared" si="276"/>
        <v>0</v>
      </c>
      <c r="K520" s="24">
        <f t="shared" si="276"/>
        <v>0</v>
      </c>
      <c r="L520" s="24">
        <f t="shared" si="276"/>
        <v>0</v>
      </c>
      <c r="M520" s="24">
        <f t="shared" si="276"/>
        <v>0</v>
      </c>
      <c r="N520" s="24">
        <f t="shared" si="276"/>
        <v>0</v>
      </c>
      <c r="O520" s="24">
        <f>SUM(O521:O521)+166372.4</f>
        <v>166372.4</v>
      </c>
      <c r="P520" s="24">
        <f>SUM(P521:P521)+166372.4</f>
        <v>166372.4</v>
      </c>
      <c r="Q520" s="24">
        <f t="shared" ref="Q520:X520" si="277">SUM(Q521:Q521)</f>
        <v>0</v>
      </c>
      <c r="R520" s="24">
        <f t="shared" si="277"/>
        <v>0</v>
      </c>
      <c r="S520" s="24">
        <f t="shared" si="277"/>
        <v>0</v>
      </c>
      <c r="T520" s="24">
        <f t="shared" si="277"/>
        <v>0</v>
      </c>
      <c r="U520" s="24">
        <f t="shared" si="277"/>
        <v>0</v>
      </c>
      <c r="V520" s="24">
        <f t="shared" si="277"/>
        <v>0</v>
      </c>
      <c r="W520" s="24">
        <f t="shared" si="277"/>
        <v>0</v>
      </c>
      <c r="X520" s="24">
        <f t="shared" si="277"/>
        <v>0</v>
      </c>
      <c r="Y520" s="23" t="s">
        <v>1249</v>
      </c>
      <c r="Z520" s="25" t="s">
        <v>34</v>
      </c>
      <c r="AA520" s="25" t="s">
        <v>1250</v>
      </c>
      <c r="AB520" s="25" t="s">
        <v>1251</v>
      </c>
      <c r="AC520" s="26" t="s">
        <v>1252</v>
      </c>
    </row>
    <row r="521" spans="1:29" ht="102" customHeight="1" x14ac:dyDescent="0.25">
      <c r="A521" s="21" t="s">
        <v>1253</v>
      </c>
      <c r="B521" s="22" t="s">
        <v>1254</v>
      </c>
      <c r="C521" s="23"/>
      <c r="D521" s="23" t="s">
        <v>1213</v>
      </c>
      <c r="E521" s="27">
        <v>0</v>
      </c>
      <c r="F521" s="27">
        <v>0</v>
      </c>
      <c r="G521" s="27">
        <v>0</v>
      </c>
      <c r="H521" s="27">
        <v>0</v>
      </c>
      <c r="I521" s="27">
        <v>0</v>
      </c>
      <c r="J521" s="27">
        <v>0</v>
      </c>
      <c r="K521" s="27">
        <v>0</v>
      </c>
      <c r="L521" s="27">
        <v>0</v>
      </c>
      <c r="M521" s="27">
        <v>0</v>
      </c>
      <c r="N521" s="27">
        <v>0</v>
      </c>
      <c r="O521" s="27">
        <v>0</v>
      </c>
      <c r="P521" s="27">
        <v>0</v>
      </c>
      <c r="Q521" s="27">
        <v>0</v>
      </c>
      <c r="R521" s="27">
        <v>0</v>
      </c>
      <c r="S521" s="27">
        <v>0</v>
      </c>
      <c r="T521" s="27">
        <v>0</v>
      </c>
      <c r="U521" s="27">
        <v>0</v>
      </c>
      <c r="V521" s="27">
        <v>0</v>
      </c>
      <c r="W521" s="27">
        <v>0</v>
      </c>
      <c r="X521" s="27">
        <v>0</v>
      </c>
      <c r="Y521" s="23"/>
      <c r="Z521" s="25"/>
      <c r="AA521" s="25"/>
      <c r="AB521" s="25"/>
      <c r="AC521" s="26"/>
    </row>
    <row r="522" spans="1:29" ht="70.5" customHeight="1" x14ac:dyDescent="0.25">
      <c r="A522" s="21" t="s">
        <v>1255</v>
      </c>
      <c r="B522" s="22" t="s">
        <v>1256</v>
      </c>
      <c r="C522" s="23"/>
      <c r="D522" s="23" t="s">
        <v>1213</v>
      </c>
      <c r="E522" s="24">
        <f>SUM(E523:E525)+65000</f>
        <v>65000</v>
      </c>
      <c r="F522" s="24">
        <f>SUM(F523:F525)+65000</f>
        <v>65000</v>
      </c>
      <c r="G522" s="24">
        <f t="shared" ref="G522:N522" si="278">SUM(G523:G525)</f>
        <v>0</v>
      </c>
      <c r="H522" s="24">
        <f t="shared" si="278"/>
        <v>0</v>
      </c>
      <c r="I522" s="24">
        <f t="shared" si="278"/>
        <v>0</v>
      </c>
      <c r="J522" s="24">
        <f t="shared" si="278"/>
        <v>0</v>
      </c>
      <c r="K522" s="24">
        <f t="shared" si="278"/>
        <v>0</v>
      </c>
      <c r="L522" s="24">
        <f t="shared" si="278"/>
        <v>0</v>
      </c>
      <c r="M522" s="24">
        <f t="shared" si="278"/>
        <v>0</v>
      </c>
      <c r="N522" s="24">
        <f t="shared" si="278"/>
        <v>0</v>
      </c>
      <c r="O522" s="24">
        <f>SUM(O523:O525)+63886.25</f>
        <v>63886.25</v>
      </c>
      <c r="P522" s="24">
        <f>SUM(P523:P525)+63886.25</f>
        <v>63886.25</v>
      </c>
      <c r="Q522" s="24">
        <f t="shared" ref="Q522:X522" si="279">SUM(Q523:Q525)</f>
        <v>0</v>
      </c>
      <c r="R522" s="24">
        <f t="shared" si="279"/>
        <v>0</v>
      </c>
      <c r="S522" s="24">
        <f t="shared" si="279"/>
        <v>0</v>
      </c>
      <c r="T522" s="24">
        <f t="shared" si="279"/>
        <v>0</v>
      </c>
      <c r="U522" s="24">
        <f t="shared" si="279"/>
        <v>0</v>
      </c>
      <c r="V522" s="24">
        <f t="shared" si="279"/>
        <v>0</v>
      </c>
      <c r="W522" s="24">
        <f t="shared" si="279"/>
        <v>0</v>
      </c>
      <c r="X522" s="24">
        <f t="shared" si="279"/>
        <v>0</v>
      </c>
      <c r="Y522" s="23" t="s">
        <v>1257</v>
      </c>
      <c r="Z522" s="25" t="s">
        <v>34</v>
      </c>
      <c r="AA522" s="25" t="s">
        <v>48</v>
      </c>
      <c r="AB522" s="25" t="s">
        <v>1258</v>
      </c>
      <c r="AC522" s="26" t="s">
        <v>1259</v>
      </c>
    </row>
    <row r="523" spans="1:29" ht="51.75" customHeight="1" x14ac:dyDescent="0.25">
      <c r="A523" s="21" t="s">
        <v>1260</v>
      </c>
      <c r="B523" s="22" t="s">
        <v>1261</v>
      </c>
      <c r="C523" s="23"/>
      <c r="D523" s="23" t="s">
        <v>1213</v>
      </c>
      <c r="E523" s="27">
        <v>0</v>
      </c>
      <c r="F523" s="27">
        <v>0</v>
      </c>
      <c r="G523" s="27">
        <v>0</v>
      </c>
      <c r="H523" s="27">
        <v>0</v>
      </c>
      <c r="I523" s="27">
        <v>0</v>
      </c>
      <c r="J523" s="27">
        <v>0</v>
      </c>
      <c r="K523" s="27">
        <v>0</v>
      </c>
      <c r="L523" s="27">
        <v>0</v>
      </c>
      <c r="M523" s="27">
        <v>0</v>
      </c>
      <c r="N523" s="27">
        <v>0</v>
      </c>
      <c r="O523" s="27">
        <v>0</v>
      </c>
      <c r="P523" s="27">
        <v>0</v>
      </c>
      <c r="Q523" s="27">
        <v>0</v>
      </c>
      <c r="R523" s="27">
        <v>0</v>
      </c>
      <c r="S523" s="27">
        <v>0</v>
      </c>
      <c r="T523" s="27">
        <v>0</v>
      </c>
      <c r="U523" s="27">
        <v>0</v>
      </c>
      <c r="V523" s="27">
        <v>0</v>
      </c>
      <c r="W523" s="27">
        <v>0</v>
      </c>
      <c r="X523" s="27">
        <v>0</v>
      </c>
      <c r="Y523" s="23"/>
      <c r="Z523" s="25"/>
      <c r="AA523" s="25"/>
      <c r="AB523" s="25"/>
      <c r="AC523" s="26"/>
    </row>
    <row r="524" spans="1:29" ht="81.75" customHeight="1" x14ac:dyDescent="0.25">
      <c r="A524" s="21" t="s">
        <v>1262</v>
      </c>
      <c r="B524" s="22" t="s">
        <v>1263</v>
      </c>
      <c r="C524" s="23"/>
      <c r="D524" s="23" t="s">
        <v>1213</v>
      </c>
      <c r="E524" s="27">
        <v>0</v>
      </c>
      <c r="F524" s="27">
        <v>0</v>
      </c>
      <c r="G524" s="27">
        <v>0</v>
      </c>
      <c r="H524" s="27">
        <v>0</v>
      </c>
      <c r="I524" s="27">
        <v>0</v>
      </c>
      <c r="J524" s="27">
        <v>0</v>
      </c>
      <c r="K524" s="27">
        <v>0</v>
      </c>
      <c r="L524" s="27">
        <v>0</v>
      </c>
      <c r="M524" s="27">
        <v>0</v>
      </c>
      <c r="N524" s="27">
        <v>0</v>
      </c>
      <c r="O524" s="27">
        <v>0</v>
      </c>
      <c r="P524" s="27">
        <v>0</v>
      </c>
      <c r="Q524" s="27">
        <v>0</v>
      </c>
      <c r="R524" s="27">
        <v>0</v>
      </c>
      <c r="S524" s="27">
        <v>0</v>
      </c>
      <c r="T524" s="27">
        <v>0</v>
      </c>
      <c r="U524" s="27">
        <v>0</v>
      </c>
      <c r="V524" s="27">
        <v>0</v>
      </c>
      <c r="W524" s="27">
        <v>0</v>
      </c>
      <c r="X524" s="27">
        <v>0</v>
      </c>
      <c r="Y524" s="23"/>
      <c r="Z524" s="25"/>
      <c r="AA524" s="25"/>
      <c r="AB524" s="25"/>
      <c r="AC524" s="26"/>
    </row>
    <row r="525" spans="1:29" ht="59.25" customHeight="1" x14ac:dyDescent="0.25">
      <c r="A525" s="21" t="s">
        <v>1264</v>
      </c>
      <c r="B525" s="22" t="s">
        <v>1265</v>
      </c>
      <c r="C525" s="23"/>
      <c r="D525" s="23" t="s">
        <v>1213</v>
      </c>
      <c r="E525" s="27">
        <v>0</v>
      </c>
      <c r="F525" s="27">
        <v>0</v>
      </c>
      <c r="G525" s="27">
        <v>0</v>
      </c>
      <c r="H525" s="27">
        <v>0</v>
      </c>
      <c r="I525" s="27">
        <v>0</v>
      </c>
      <c r="J525" s="27">
        <v>0</v>
      </c>
      <c r="K525" s="27">
        <v>0</v>
      </c>
      <c r="L525" s="27">
        <v>0</v>
      </c>
      <c r="M525" s="27">
        <v>0</v>
      </c>
      <c r="N525" s="27">
        <v>0</v>
      </c>
      <c r="O525" s="27">
        <v>0</v>
      </c>
      <c r="P525" s="27">
        <v>0</v>
      </c>
      <c r="Q525" s="27">
        <v>0</v>
      </c>
      <c r="R525" s="27">
        <v>0</v>
      </c>
      <c r="S525" s="27">
        <v>0</v>
      </c>
      <c r="T525" s="27">
        <v>0</v>
      </c>
      <c r="U525" s="27">
        <v>0</v>
      </c>
      <c r="V525" s="27">
        <v>0</v>
      </c>
      <c r="W525" s="27">
        <v>0</v>
      </c>
      <c r="X525" s="27">
        <v>0</v>
      </c>
      <c r="Y525" s="23"/>
      <c r="Z525" s="25"/>
      <c r="AA525" s="25"/>
      <c r="AB525" s="25"/>
      <c r="AC525" s="26"/>
    </row>
    <row r="526" spans="1:29" ht="88.5" customHeight="1" x14ac:dyDescent="0.25">
      <c r="A526" s="21" t="s">
        <v>1266</v>
      </c>
      <c r="B526" s="22" t="s">
        <v>1267</v>
      </c>
      <c r="C526" s="23"/>
      <c r="D526" s="23" t="s">
        <v>1213</v>
      </c>
      <c r="E526" s="24">
        <f>SUM(E527:E527)+480085.95</f>
        <v>480085.95</v>
      </c>
      <c r="F526" s="24">
        <f>SUM(F527:F527)+143516</f>
        <v>143516</v>
      </c>
      <c r="G526" s="24">
        <f>SUM(G527:G527)</f>
        <v>0</v>
      </c>
      <c r="H526" s="24">
        <f>SUM(H527:H527)</f>
        <v>0</v>
      </c>
      <c r="I526" s="24">
        <f>SUM(I527:I527)+336569.95</f>
        <v>336569.95</v>
      </c>
      <c r="J526" s="24">
        <f>SUM(J527:J527)</f>
        <v>0</v>
      </c>
      <c r="K526" s="24">
        <f>SUM(K527:K527)</f>
        <v>0</v>
      </c>
      <c r="L526" s="24">
        <f>SUM(L527:L527)</f>
        <v>0</v>
      </c>
      <c r="M526" s="24">
        <f>SUM(M527:M527)</f>
        <v>0</v>
      </c>
      <c r="N526" s="24">
        <f>SUM(N527:N527)</f>
        <v>0</v>
      </c>
      <c r="O526" s="24">
        <f>SUM(O527:O527)+490968.46</f>
        <v>490968.46</v>
      </c>
      <c r="P526" s="24">
        <f>SUM(P527:P527)+114398.46</f>
        <v>114398.46</v>
      </c>
      <c r="Q526" s="24">
        <f>SUM(Q527:Q527)</f>
        <v>0</v>
      </c>
      <c r="R526" s="24">
        <f>SUM(R527:R527)</f>
        <v>0</v>
      </c>
      <c r="S526" s="24">
        <f>SUM(S527:S527)+376570</f>
        <v>376570</v>
      </c>
      <c r="T526" s="24">
        <f>SUM(T527:T527)</f>
        <v>0</v>
      </c>
      <c r="U526" s="24">
        <f>SUM(U527:U527)</f>
        <v>0</v>
      </c>
      <c r="V526" s="24">
        <f>SUM(V527:V527)</f>
        <v>0</v>
      </c>
      <c r="W526" s="24">
        <f>SUM(W527:W527)</f>
        <v>0</v>
      </c>
      <c r="X526" s="24">
        <f>SUM(X527:X527)</f>
        <v>0</v>
      </c>
      <c r="Y526" s="23" t="s">
        <v>1268</v>
      </c>
      <c r="Z526" s="25" t="s">
        <v>34</v>
      </c>
      <c r="AA526" s="25" t="s">
        <v>77</v>
      </c>
      <c r="AB526" s="25" t="s">
        <v>1269</v>
      </c>
      <c r="AC526" s="26" t="s">
        <v>1270</v>
      </c>
    </row>
    <row r="527" spans="1:29" ht="99.75" customHeight="1" x14ac:dyDescent="0.25">
      <c r="A527" s="21" t="s">
        <v>1271</v>
      </c>
      <c r="B527" s="22" t="s">
        <v>1272</v>
      </c>
      <c r="C527" s="23"/>
      <c r="D527" s="23" t="s">
        <v>1213</v>
      </c>
      <c r="E527" s="27">
        <v>0</v>
      </c>
      <c r="F527" s="27">
        <v>0</v>
      </c>
      <c r="G527" s="27">
        <v>0</v>
      </c>
      <c r="H527" s="27">
        <v>0</v>
      </c>
      <c r="I527" s="27">
        <v>0</v>
      </c>
      <c r="J527" s="27">
        <v>0</v>
      </c>
      <c r="K527" s="27">
        <v>0</v>
      </c>
      <c r="L527" s="27">
        <v>0</v>
      </c>
      <c r="M527" s="27">
        <v>0</v>
      </c>
      <c r="N527" s="27">
        <v>0</v>
      </c>
      <c r="O527" s="27">
        <v>0</v>
      </c>
      <c r="P527" s="27">
        <v>0</v>
      </c>
      <c r="Q527" s="27">
        <v>0</v>
      </c>
      <c r="R527" s="27">
        <v>0</v>
      </c>
      <c r="S527" s="27">
        <v>0</v>
      </c>
      <c r="T527" s="27">
        <v>0</v>
      </c>
      <c r="U527" s="27">
        <v>0</v>
      </c>
      <c r="V527" s="27">
        <v>0</v>
      </c>
      <c r="W527" s="27">
        <v>0</v>
      </c>
      <c r="X527" s="27">
        <v>0</v>
      </c>
      <c r="Y527" s="23"/>
      <c r="Z527" s="25"/>
      <c r="AA527" s="25"/>
      <c r="AB527" s="25"/>
      <c r="AC527" s="26"/>
    </row>
    <row r="528" spans="1:29" ht="60.75" x14ac:dyDescent="0.25">
      <c r="A528" s="21" t="s">
        <v>1273</v>
      </c>
      <c r="B528" s="22" t="s">
        <v>1274</v>
      </c>
      <c r="C528" s="23"/>
      <c r="D528" s="23" t="s">
        <v>1213</v>
      </c>
      <c r="E528" s="24">
        <f>SUM(E529:E530)+45061</f>
        <v>45061</v>
      </c>
      <c r="F528" s="24">
        <f>SUM(F529:F530)+45061</f>
        <v>45061</v>
      </c>
      <c r="G528" s="24">
        <f t="shared" ref="G528:N528" si="280">SUM(G529:G530)</f>
        <v>0</v>
      </c>
      <c r="H528" s="24">
        <f t="shared" si="280"/>
        <v>0</v>
      </c>
      <c r="I528" s="24">
        <f t="shared" si="280"/>
        <v>0</v>
      </c>
      <c r="J528" s="24">
        <f t="shared" si="280"/>
        <v>0</v>
      </c>
      <c r="K528" s="24">
        <f t="shared" si="280"/>
        <v>0</v>
      </c>
      <c r="L528" s="24">
        <f t="shared" si="280"/>
        <v>0</v>
      </c>
      <c r="M528" s="24">
        <f t="shared" si="280"/>
        <v>0</v>
      </c>
      <c r="N528" s="24">
        <f t="shared" si="280"/>
        <v>0</v>
      </c>
      <c r="O528" s="24">
        <f>SUM(O529:O530)+41232.48</f>
        <v>41232.480000000003</v>
      </c>
      <c r="P528" s="24">
        <f>SUM(P529:P530)+41232.48</f>
        <v>41232.480000000003</v>
      </c>
      <c r="Q528" s="24">
        <f t="shared" ref="Q528:X528" si="281">SUM(Q529:Q530)</f>
        <v>0</v>
      </c>
      <c r="R528" s="24">
        <f t="shared" si="281"/>
        <v>0</v>
      </c>
      <c r="S528" s="24">
        <f t="shared" si="281"/>
        <v>0</v>
      </c>
      <c r="T528" s="24">
        <f t="shared" si="281"/>
        <v>0</v>
      </c>
      <c r="U528" s="24">
        <f t="shared" si="281"/>
        <v>0</v>
      </c>
      <c r="V528" s="24">
        <f t="shared" si="281"/>
        <v>0</v>
      </c>
      <c r="W528" s="24">
        <f t="shared" si="281"/>
        <v>0</v>
      </c>
      <c r="X528" s="24">
        <f t="shared" si="281"/>
        <v>0</v>
      </c>
      <c r="Y528" s="23" t="s">
        <v>1275</v>
      </c>
      <c r="Z528" s="25" t="s">
        <v>34</v>
      </c>
      <c r="AA528" s="25" t="s">
        <v>1276</v>
      </c>
      <c r="AB528" s="25" t="s">
        <v>1277</v>
      </c>
      <c r="AC528" s="26" t="s">
        <v>1223</v>
      </c>
    </row>
    <row r="529" spans="1:29" ht="92.25" customHeight="1" x14ac:dyDescent="0.25">
      <c r="A529" s="21" t="s">
        <v>1278</v>
      </c>
      <c r="B529" s="22" t="s">
        <v>1279</v>
      </c>
      <c r="C529" s="23"/>
      <c r="D529" s="23" t="s">
        <v>1213</v>
      </c>
      <c r="E529" s="27">
        <v>0</v>
      </c>
      <c r="F529" s="27">
        <v>0</v>
      </c>
      <c r="G529" s="27">
        <v>0</v>
      </c>
      <c r="H529" s="27">
        <v>0</v>
      </c>
      <c r="I529" s="27">
        <v>0</v>
      </c>
      <c r="J529" s="27">
        <v>0</v>
      </c>
      <c r="K529" s="27">
        <v>0</v>
      </c>
      <c r="L529" s="27">
        <v>0</v>
      </c>
      <c r="M529" s="27">
        <v>0</v>
      </c>
      <c r="N529" s="27">
        <v>0</v>
      </c>
      <c r="O529" s="27">
        <v>0</v>
      </c>
      <c r="P529" s="27">
        <v>0</v>
      </c>
      <c r="Q529" s="27">
        <v>0</v>
      </c>
      <c r="R529" s="27">
        <v>0</v>
      </c>
      <c r="S529" s="27">
        <v>0</v>
      </c>
      <c r="T529" s="27">
        <v>0</v>
      </c>
      <c r="U529" s="27">
        <v>0</v>
      </c>
      <c r="V529" s="27">
        <v>0</v>
      </c>
      <c r="W529" s="27">
        <v>0</v>
      </c>
      <c r="X529" s="27">
        <v>0</v>
      </c>
      <c r="Y529" s="23"/>
      <c r="Z529" s="25"/>
      <c r="AA529" s="25"/>
      <c r="AB529" s="25"/>
      <c r="AC529" s="26"/>
    </row>
    <row r="530" spans="1:29" ht="103.5" customHeight="1" x14ac:dyDescent="0.25">
      <c r="A530" s="21" t="s">
        <v>1280</v>
      </c>
      <c r="B530" s="22" t="s">
        <v>1281</v>
      </c>
      <c r="C530" s="23"/>
      <c r="D530" s="23" t="s">
        <v>1213</v>
      </c>
      <c r="E530" s="27">
        <v>0</v>
      </c>
      <c r="F530" s="27">
        <v>0</v>
      </c>
      <c r="G530" s="27">
        <v>0</v>
      </c>
      <c r="H530" s="27">
        <v>0</v>
      </c>
      <c r="I530" s="27">
        <v>0</v>
      </c>
      <c r="J530" s="27">
        <v>0</v>
      </c>
      <c r="K530" s="27">
        <v>0</v>
      </c>
      <c r="L530" s="27">
        <v>0</v>
      </c>
      <c r="M530" s="27">
        <v>0</v>
      </c>
      <c r="N530" s="27">
        <v>0</v>
      </c>
      <c r="O530" s="27">
        <v>0</v>
      </c>
      <c r="P530" s="27">
        <v>0</v>
      </c>
      <c r="Q530" s="27">
        <v>0</v>
      </c>
      <c r="R530" s="27">
        <v>0</v>
      </c>
      <c r="S530" s="27">
        <v>0</v>
      </c>
      <c r="T530" s="27">
        <v>0</v>
      </c>
      <c r="U530" s="27">
        <v>0</v>
      </c>
      <c r="V530" s="27">
        <v>0</v>
      </c>
      <c r="W530" s="27">
        <v>0</v>
      </c>
      <c r="X530" s="27">
        <v>0</v>
      </c>
      <c r="Y530" s="23"/>
      <c r="Z530" s="25"/>
      <c r="AA530" s="25"/>
      <c r="AB530" s="25"/>
      <c r="AC530" s="26"/>
    </row>
    <row r="531" spans="1:29" ht="51.75" customHeight="1" x14ac:dyDescent="0.25">
      <c r="A531" s="15" t="s">
        <v>1282</v>
      </c>
      <c r="B531" s="16" t="s">
        <v>1283</v>
      </c>
      <c r="C531" s="17"/>
      <c r="D531" s="17" t="s">
        <v>1213</v>
      </c>
      <c r="E531" s="18">
        <f t="shared" ref="E531:X531" si="282">E532+E534</f>
        <v>39215</v>
      </c>
      <c r="F531" s="18">
        <f t="shared" si="282"/>
        <v>39215</v>
      </c>
      <c r="G531" s="18">
        <f t="shared" si="282"/>
        <v>0</v>
      </c>
      <c r="H531" s="18">
        <f t="shared" si="282"/>
        <v>0</v>
      </c>
      <c r="I531" s="18">
        <f t="shared" si="282"/>
        <v>0</v>
      </c>
      <c r="J531" s="18">
        <f t="shared" si="282"/>
        <v>0</v>
      </c>
      <c r="K531" s="18">
        <f t="shared" si="282"/>
        <v>0</v>
      </c>
      <c r="L531" s="18">
        <f t="shared" si="282"/>
        <v>0</v>
      </c>
      <c r="M531" s="18">
        <f t="shared" si="282"/>
        <v>0</v>
      </c>
      <c r="N531" s="18">
        <f t="shared" si="282"/>
        <v>0</v>
      </c>
      <c r="O531" s="18">
        <f t="shared" si="282"/>
        <v>66053.73000000001</v>
      </c>
      <c r="P531" s="18">
        <f t="shared" si="282"/>
        <v>66053.73000000001</v>
      </c>
      <c r="Q531" s="18">
        <f t="shared" si="282"/>
        <v>0</v>
      </c>
      <c r="R531" s="18">
        <f t="shared" si="282"/>
        <v>0</v>
      </c>
      <c r="S531" s="18">
        <f t="shared" si="282"/>
        <v>0</v>
      </c>
      <c r="T531" s="18">
        <f t="shared" si="282"/>
        <v>0</v>
      </c>
      <c r="U531" s="18">
        <f t="shared" si="282"/>
        <v>0</v>
      </c>
      <c r="V531" s="18">
        <f t="shared" si="282"/>
        <v>0</v>
      </c>
      <c r="W531" s="18">
        <f t="shared" si="282"/>
        <v>0</v>
      </c>
      <c r="X531" s="18">
        <f t="shared" si="282"/>
        <v>0</v>
      </c>
      <c r="Y531" s="17"/>
      <c r="Z531" s="19"/>
      <c r="AA531" s="19"/>
      <c r="AB531" s="19"/>
      <c r="AC531" s="20"/>
    </row>
    <row r="532" spans="1:29" ht="78" customHeight="1" x14ac:dyDescent="0.25">
      <c r="A532" s="21" t="s">
        <v>1284</v>
      </c>
      <c r="B532" s="22" t="s">
        <v>1285</v>
      </c>
      <c r="C532" s="23"/>
      <c r="D532" s="23" t="s">
        <v>1213</v>
      </c>
      <c r="E532" s="24">
        <f>SUM(E533:E533)+11115</f>
        <v>11115</v>
      </c>
      <c r="F532" s="24">
        <f>SUM(F533:F533)+11115</f>
        <v>11115</v>
      </c>
      <c r="G532" s="24">
        <f t="shared" ref="G532:N532" si="283">SUM(G533:G533)</f>
        <v>0</v>
      </c>
      <c r="H532" s="24">
        <f t="shared" si="283"/>
        <v>0</v>
      </c>
      <c r="I532" s="24">
        <f t="shared" si="283"/>
        <v>0</v>
      </c>
      <c r="J532" s="24">
        <f t="shared" si="283"/>
        <v>0</v>
      </c>
      <c r="K532" s="24">
        <f t="shared" si="283"/>
        <v>0</v>
      </c>
      <c r="L532" s="24">
        <f t="shared" si="283"/>
        <v>0</v>
      </c>
      <c r="M532" s="24">
        <f t="shared" si="283"/>
        <v>0</v>
      </c>
      <c r="N532" s="24">
        <f t="shared" si="283"/>
        <v>0</v>
      </c>
      <c r="O532" s="24">
        <f>SUM(O533:O533)+37953.73</f>
        <v>37953.730000000003</v>
      </c>
      <c r="P532" s="24">
        <f>SUM(P533:P533)+37953.73</f>
        <v>37953.730000000003</v>
      </c>
      <c r="Q532" s="24">
        <f t="shared" ref="Q532:X532" si="284">SUM(Q533:Q533)</f>
        <v>0</v>
      </c>
      <c r="R532" s="24">
        <f t="shared" si="284"/>
        <v>0</v>
      </c>
      <c r="S532" s="24">
        <f t="shared" si="284"/>
        <v>0</v>
      </c>
      <c r="T532" s="24">
        <f t="shared" si="284"/>
        <v>0</v>
      </c>
      <c r="U532" s="24">
        <f t="shared" si="284"/>
        <v>0</v>
      </c>
      <c r="V532" s="24">
        <f t="shared" si="284"/>
        <v>0</v>
      </c>
      <c r="W532" s="24">
        <f t="shared" si="284"/>
        <v>0</v>
      </c>
      <c r="X532" s="24">
        <f t="shared" si="284"/>
        <v>0</v>
      </c>
      <c r="Y532" s="23" t="s">
        <v>1286</v>
      </c>
      <c r="Z532" s="25" t="s">
        <v>34</v>
      </c>
      <c r="AA532" s="25" t="s">
        <v>79</v>
      </c>
      <c r="AB532" s="25" t="s">
        <v>292</v>
      </c>
      <c r="AC532" s="26" t="s">
        <v>1287</v>
      </c>
    </row>
    <row r="533" spans="1:29" ht="70.5" customHeight="1" x14ac:dyDescent="0.25">
      <c r="A533" s="21" t="s">
        <v>1288</v>
      </c>
      <c r="B533" s="22" t="s">
        <v>1289</v>
      </c>
      <c r="C533" s="23"/>
      <c r="D533" s="23" t="s">
        <v>1213</v>
      </c>
      <c r="E533" s="27">
        <v>0</v>
      </c>
      <c r="F533" s="27">
        <v>0</v>
      </c>
      <c r="G533" s="27">
        <v>0</v>
      </c>
      <c r="H533" s="27">
        <v>0</v>
      </c>
      <c r="I533" s="27">
        <v>0</v>
      </c>
      <c r="J533" s="27">
        <v>0</v>
      </c>
      <c r="K533" s="27">
        <v>0</v>
      </c>
      <c r="L533" s="27">
        <v>0</v>
      </c>
      <c r="M533" s="27">
        <v>0</v>
      </c>
      <c r="N533" s="27">
        <v>0</v>
      </c>
      <c r="O533" s="27">
        <v>0</v>
      </c>
      <c r="P533" s="27">
        <v>0</v>
      </c>
      <c r="Q533" s="27">
        <v>0</v>
      </c>
      <c r="R533" s="27">
        <v>0</v>
      </c>
      <c r="S533" s="27">
        <v>0</v>
      </c>
      <c r="T533" s="27">
        <v>0</v>
      </c>
      <c r="U533" s="27">
        <v>0</v>
      </c>
      <c r="V533" s="27">
        <v>0</v>
      </c>
      <c r="W533" s="27">
        <v>0</v>
      </c>
      <c r="X533" s="27">
        <v>0</v>
      </c>
      <c r="Y533" s="23"/>
      <c r="Z533" s="25"/>
      <c r="AA533" s="25"/>
      <c r="AB533" s="25"/>
      <c r="AC533" s="26"/>
    </row>
    <row r="534" spans="1:29" ht="55.5" customHeight="1" x14ac:dyDescent="0.25">
      <c r="A534" s="21" t="s">
        <v>1290</v>
      </c>
      <c r="B534" s="22" t="s">
        <v>1291</v>
      </c>
      <c r="C534" s="23"/>
      <c r="D534" s="23" t="s">
        <v>1213</v>
      </c>
      <c r="E534" s="24">
        <f>SUM(E535:E535)+28100</f>
        <v>28100</v>
      </c>
      <c r="F534" s="24">
        <f>SUM(F535:F535)+28100</f>
        <v>28100</v>
      </c>
      <c r="G534" s="24">
        <f t="shared" ref="G534:N534" si="285">SUM(G535:G535)</f>
        <v>0</v>
      </c>
      <c r="H534" s="24">
        <f t="shared" si="285"/>
        <v>0</v>
      </c>
      <c r="I534" s="24">
        <f t="shared" si="285"/>
        <v>0</v>
      </c>
      <c r="J534" s="24">
        <f t="shared" si="285"/>
        <v>0</v>
      </c>
      <c r="K534" s="24">
        <f t="shared" si="285"/>
        <v>0</v>
      </c>
      <c r="L534" s="24">
        <f t="shared" si="285"/>
        <v>0</v>
      </c>
      <c r="M534" s="24">
        <f t="shared" si="285"/>
        <v>0</v>
      </c>
      <c r="N534" s="24">
        <f t="shared" si="285"/>
        <v>0</v>
      </c>
      <c r="O534" s="24">
        <f>SUM(O535:O535)+28100</f>
        <v>28100</v>
      </c>
      <c r="P534" s="24">
        <f>SUM(P535:P535)+28100</f>
        <v>28100</v>
      </c>
      <c r="Q534" s="24">
        <f t="shared" ref="Q534:X534" si="286">SUM(Q535:Q535)</f>
        <v>0</v>
      </c>
      <c r="R534" s="24">
        <f t="shared" si="286"/>
        <v>0</v>
      </c>
      <c r="S534" s="24">
        <f t="shared" si="286"/>
        <v>0</v>
      </c>
      <c r="T534" s="24">
        <f t="shared" si="286"/>
        <v>0</v>
      </c>
      <c r="U534" s="24">
        <f t="shared" si="286"/>
        <v>0</v>
      </c>
      <c r="V534" s="24">
        <f t="shared" si="286"/>
        <v>0</v>
      </c>
      <c r="W534" s="24">
        <f t="shared" si="286"/>
        <v>0</v>
      </c>
      <c r="X534" s="24">
        <f t="shared" si="286"/>
        <v>0</v>
      </c>
      <c r="Y534" s="23" t="s">
        <v>1292</v>
      </c>
      <c r="Z534" s="25" t="s">
        <v>34</v>
      </c>
      <c r="AA534" s="25" t="s">
        <v>1293</v>
      </c>
      <c r="AB534" s="25" t="s">
        <v>36</v>
      </c>
      <c r="AC534" s="26" t="s">
        <v>1294</v>
      </c>
    </row>
    <row r="535" spans="1:29" ht="59.25" customHeight="1" x14ac:dyDescent="0.25">
      <c r="A535" s="21" t="s">
        <v>1295</v>
      </c>
      <c r="B535" s="22" t="s">
        <v>1296</v>
      </c>
      <c r="C535" s="23"/>
      <c r="D535" s="23" t="s">
        <v>1213</v>
      </c>
      <c r="E535" s="27">
        <v>0</v>
      </c>
      <c r="F535" s="27">
        <v>0</v>
      </c>
      <c r="G535" s="27">
        <v>0</v>
      </c>
      <c r="H535" s="27">
        <v>0</v>
      </c>
      <c r="I535" s="27">
        <v>0</v>
      </c>
      <c r="J535" s="27">
        <v>0</v>
      </c>
      <c r="K535" s="27">
        <v>0</v>
      </c>
      <c r="L535" s="27">
        <v>0</v>
      </c>
      <c r="M535" s="27">
        <v>0</v>
      </c>
      <c r="N535" s="27">
        <v>0</v>
      </c>
      <c r="O535" s="27">
        <v>0</v>
      </c>
      <c r="P535" s="27">
        <v>0</v>
      </c>
      <c r="Q535" s="27">
        <v>0</v>
      </c>
      <c r="R535" s="27">
        <v>0</v>
      </c>
      <c r="S535" s="27">
        <v>0</v>
      </c>
      <c r="T535" s="27">
        <v>0</v>
      </c>
      <c r="U535" s="27">
        <v>0</v>
      </c>
      <c r="V535" s="27">
        <v>0</v>
      </c>
      <c r="W535" s="27">
        <v>0</v>
      </c>
      <c r="X535" s="27">
        <v>0</v>
      </c>
      <c r="Y535" s="23"/>
      <c r="Z535" s="25"/>
      <c r="AA535" s="25"/>
      <c r="AB535" s="25"/>
      <c r="AC535" s="26"/>
    </row>
    <row r="536" spans="1:29" ht="50.25" customHeight="1" x14ac:dyDescent="0.25">
      <c r="A536" s="15" t="s">
        <v>1297</v>
      </c>
      <c r="B536" s="16" t="s">
        <v>1298</v>
      </c>
      <c r="C536" s="17"/>
      <c r="D536" s="17" t="s">
        <v>1213</v>
      </c>
      <c r="E536" s="18">
        <f t="shared" ref="E536:X536" si="287">E537+E540+E542+E544</f>
        <v>109139</v>
      </c>
      <c r="F536" s="18">
        <f t="shared" si="287"/>
        <v>50144</v>
      </c>
      <c r="G536" s="18">
        <f t="shared" si="287"/>
        <v>0</v>
      </c>
      <c r="H536" s="18">
        <f t="shared" si="287"/>
        <v>0</v>
      </c>
      <c r="I536" s="18">
        <f t="shared" si="287"/>
        <v>0</v>
      </c>
      <c r="J536" s="18">
        <f t="shared" si="287"/>
        <v>0</v>
      </c>
      <c r="K536" s="18">
        <f t="shared" si="287"/>
        <v>0</v>
      </c>
      <c r="L536" s="18">
        <f t="shared" si="287"/>
        <v>58995</v>
      </c>
      <c r="M536" s="18">
        <f t="shared" si="287"/>
        <v>0</v>
      </c>
      <c r="N536" s="18">
        <f t="shared" si="287"/>
        <v>0</v>
      </c>
      <c r="O536" s="18">
        <f t="shared" si="287"/>
        <v>106291.3</v>
      </c>
      <c r="P536" s="18">
        <f t="shared" si="287"/>
        <v>50143.3</v>
      </c>
      <c r="Q536" s="18">
        <f t="shared" si="287"/>
        <v>0</v>
      </c>
      <c r="R536" s="18">
        <f t="shared" si="287"/>
        <v>0</v>
      </c>
      <c r="S536" s="18">
        <f t="shared" si="287"/>
        <v>0</v>
      </c>
      <c r="T536" s="18">
        <f t="shared" si="287"/>
        <v>0</v>
      </c>
      <c r="U536" s="18">
        <f t="shared" si="287"/>
        <v>0</v>
      </c>
      <c r="V536" s="18">
        <f t="shared" si="287"/>
        <v>56148</v>
      </c>
      <c r="W536" s="18">
        <f t="shared" si="287"/>
        <v>0</v>
      </c>
      <c r="X536" s="18">
        <f t="shared" si="287"/>
        <v>0</v>
      </c>
      <c r="Y536" s="17"/>
      <c r="Z536" s="19"/>
      <c r="AA536" s="19"/>
      <c r="AB536" s="19"/>
      <c r="AC536" s="20"/>
    </row>
    <row r="537" spans="1:29" ht="66.75" customHeight="1" x14ac:dyDescent="0.25">
      <c r="A537" s="21" t="s">
        <v>1299</v>
      </c>
      <c r="B537" s="22" t="s">
        <v>1300</v>
      </c>
      <c r="C537" s="23"/>
      <c r="D537" s="23" t="s">
        <v>1213</v>
      </c>
      <c r="E537" s="24">
        <f>SUM(E538:E539)+20000</f>
        <v>20000</v>
      </c>
      <c r="F537" s="24">
        <f>SUM(F538:F539)+20000</f>
        <v>20000</v>
      </c>
      <c r="G537" s="24">
        <f t="shared" ref="G537:N537" si="288">SUM(G538:G539)</f>
        <v>0</v>
      </c>
      <c r="H537" s="24">
        <f t="shared" si="288"/>
        <v>0</v>
      </c>
      <c r="I537" s="24">
        <f t="shared" si="288"/>
        <v>0</v>
      </c>
      <c r="J537" s="24">
        <f t="shared" si="288"/>
        <v>0</v>
      </c>
      <c r="K537" s="24">
        <f t="shared" si="288"/>
        <v>0</v>
      </c>
      <c r="L537" s="24">
        <f t="shared" si="288"/>
        <v>0</v>
      </c>
      <c r="M537" s="24">
        <f t="shared" si="288"/>
        <v>0</v>
      </c>
      <c r="N537" s="24">
        <f t="shared" si="288"/>
        <v>0</v>
      </c>
      <c r="O537" s="24">
        <f>SUM(O538:O539)+20000</f>
        <v>20000</v>
      </c>
      <c r="P537" s="24">
        <f>SUM(P538:P539)+20000</f>
        <v>20000</v>
      </c>
      <c r="Q537" s="24">
        <f t="shared" ref="Q537:X537" si="289">SUM(Q538:Q539)</f>
        <v>0</v>
      </c>
      <c r="R537" s="24">
        <f t="shared" si="289"/>
        <v>0</v>
      </c>
      <c r="S537" s="24">
        <f t="shared" si="289"/>
        <v>0</v>
      </c>
      <c r="T537" s="24">
        <f t="shared" si="289"/>
        <v>0</v>
      </c>
      <c r="U537" s="24">
        <f t="shared" si="289"/>
        <v>0</v>
      </c>
      <c r="V537" s="24">
        <f t="shared" si="289"/>
        <v>0</v>
      </c>
      <c r="W537" s="24">
        <f t="shared" si="289"/>
        <v>0</v>
      </c>
      <c r="X537" s="24">
        <f t="shared" si="289"/>
        <v>0</v>
      </c>
      <c r="Y537" s="23" t="s">
        <v>1301</v>
      </c>
      <c r="Z537" s="25" t="s">
        <v>34</v>
      </c>
      <c r="AA537" s="25" t="s">
        <v>1302</v>
      </c>
      <c r="AB537" s="25" t="s">
        <v>1303</v>
      </c>
      <c r="AC537" s="26" t="s">
        <v>1304</v>
      </c>
    </row>
    <row r="538" spans="1:29" ht="74.25" customHeight="1" x14ac:dyDescent="0.25">
      <c r="A538" s="21" t="s">
        <v>1305</v>
      </c>
      <c r="B538" s="22" t="s">
        <v>1306</v>
      </c>
      <c r="C538" s="23"/>
      <c r="D538" s="23" t="s">
        <v>1213</v>
      </c>
      <c r="E538" s="27">
        <v>0</v>
      </c>
      <c r="F538" s="27">
        <v>0</v>
      </c>
      <c r="G538" s="27">
        <v>0</v>
      </c>
      <c r="H538" s="27">
        <v>0</v>
      </c>
      <c r="I538" s="27">
        <v>0</v>
      </c>
      <c r="J538" s="27">
        <v>0</v>
      </c>
      <c r="K538" s="27">
        <v>0</v>
      </c>
      <c r="L538" s="27">
        <v>0</v>
      </c>
      <c r="M538" s="27">
        <v>0</v>
      </c>
      <c r="N538" s="27">
        <v>0</v>
      </c>
      <c r="O538" s="27">
        <v>0</v>
      </c>
      <c r="P538" s="27">
        <v>0</v>
      </c>
      <c r="Q538" s="27">
        <v>0</v>
      </c>
      <c r="R538" s="27">
        <v>0</v>
      </c>
      <c r="S538" s="27">
        <v>0</v>
      </c>
      <c r="T538" s="27">
        <v>0</v>
      </c>
      <c r="U538" s="27">
        <v>0</v>
      </c>
      <c r="V538" s="27">
        <v>0</v>
      </c>
      <c r="W538" s="27">
        <v>0</v>
      </c>
      <c r="X538" s="27">
        <v>0</v>
      </c>
      <c r="Y538" s="23"/>
      <c r="Z538" s="25"/>
      <c r="AA538" s="25"/>
      <c r="AB538" s="25"/>
      <c r="AC538" s="26"/>
    </row>
    <row r="539" spans="1:29" ht="79.5" customHeight="1" x14ac:dyDescent="0.25">
      <c r="A539" s="21" t="s">
        <v>1307</v>
      </c>
      <c r="B539" s="22" t="s">
        <v>1308</v>
      </c>
      <c r="C539" s="23"/>
      <c r="D539" s="23" t="s">
        <v>1213</v>
      </c>
      <c r="E539" s="27">
        <v>0</v>
      </c>
      <c r="F539" s="27">
        <v>0</v>
      </c>
      <c r="G539" s="27">
        <v>0</v>
      </c>
      <c r="H539" s="27">
        <v>0</v>
      </c>
      <c r="I539" s="27">
        <v>0</v>
      </c>
      <c r="J539" s="27">
        <v>0</v>
      </c>
      <c r="K539" s="27">
        <v>0</v>
      </c>
      <c r="L539" s="27">
        <v>0</v>
      </c>
      <c r="M539" s="27">
        <v>0</v>
      </c>
      <c r="N539" s="27">
        <v>0</v>
      </c>
      <c r="O539" s="27">
        <v>0</v>
      </c>
      <c r="P539" s="27">
        <v>0</v>
      </c>
      <c r="Q539" s="27">
        <v>0</v>
      </c>
      <c r="R539" s="27">
        <v>0</v>
      </c>
      <c r="S539" s="27">
        <v>0</v>
      </c>
      <c r="T539" s="27">
        <v>0</v>
      </c>
      <c r="U539" s="27">
        <v>0</v>
      </c>
      <c r="V539" s="27">
        <v>0</v>
      </c>
      <c r="W539" s="27">
        <v>0</v>
      </c>
      <c r="X539" s="27">
        <v>0</v>
      </c>
      <c r="Y539" s="23"/>
      <c r="Z539" s="25"/>
      <c r="AA539" s="25"/>
      <c r="AB539" s="25"/>
      <c r="AC539" s="26"/>
    </row>
    <row r="540" spans="1:29" ht="60.75" x14ac:dyDescent="0.25">
      <c r="A540" s="21" t="s">
        <v>1309</v>
      </c>
      <c r="B540" s="22" t="s">
        <v>1310</v>
      </c>
      <c r="C540" s="23"/>
      <c r="D540" s="23" t="s">
        <v>1213</v>
      </c>
      <c r="E540" s="24">
        <f>SUM(E541:E541)+14114</f>
        <v>14114</v>
      </c>
      <c r="F540" s="24">
        <f>SUM(F541:F541)+14114</f>
        <v>14114</v>
      </c>
      <c r="G540" s="24">
        <f t="shared" ref="G540:N540" si="290">SUM(G541:G541)</f>
        <v>0</v>
      </c>
      <c r="H540" s="24">
        <f t="shared" si="290"/>
        <v>0</v>
      </c>
      <c r="I540" s="24">
        <f t="shared" si="290"/>
        <v>0</v>
      </c>
      <c r="J540" s="24">
        <f t="shared" si="290"/>
        <v>0</v>
      </c>
      <c r="K540" s="24">
        <f t="shared" si="290"/>
        <v>0</v>
      </c>
      <c r="L540" s="24">
        <f t="shared" si="290"/>
        <v>0</v>
      </c>
      <c r="M540" s="24">
        <f t="shared" si="290"/>
        <v>0</v>
      </c>
      <c r="N540" s="24">
        <f t="shared" si="290"/>
        <v>0</v>
      </c>
      <c r="O540" s="24">
        <f>SUM(O541:O541)+14113.3</f>
        <v>14113.3</v>
      </c>
      <c r="P540" s="24">
        <f>SUM(P541:P541)+14113.3</f>
        <v>14113.3</v>
      </c>
      <c r="Q540" s="24">
        <f t="shared" ref="Q540:X540" si="291">SUM(Q541:Q541)</f>
        <v>0</v>
      </c>
      <c r="R540" s="24">
        <f t="shared" si="291"/>
        <v>0</v>
      </c>
      <c r="S540" s="24">
        <f t="shared" si="291"/>
        <v>0</v>
      </c>
      <c r="T540" s="24">
        <f t="shared" si="291"/>
        <v>0</v>
      </c>
      <c r="U540" s="24">
        <f t="shared" si="291"/>
        <v>0</v>
      </c>
      <c r="V540" s="24">
        <f t="shared" si="291"/>
        <v>0</v>
      </c>
      <c r="W540" s="24">
        <f t="shared" si="291"/>
        <v>0</v>
      </c>
      <c r="X540" s="24">
        <f t="shared" si="291"/>
        <v>0</v>
      </c>
      <c r="Y540" s="23" t="s">
        <v>1311</v>
      </c>
      <c r="Z540" s="25" t="s">
        <v>34</v>
      </c>
      <c r="AA540" s="25" t="s">
        <v>640</v>
      </c>
      <c r="AB540" s="25" t="s">
        <v>168</v>
      </c>
      <c r="AC540" s="26" t="s">
        <v>1312</v>
      </c>
    </row>
    <row r="541" spans="1:29" ht="54" customHeight="1" x14ac:dyDescent="0.25">
      <c r="A541" s="21" t="s">
        <v>1313</v>
      </c>
      <c r="B541" s="22" t="s">
        <v>1314</v>
      </c>
      <c r="C541" s="23"/>
      <c r="D541" s="23" t="s">
        <v>1213</v>
      </c>
      <c r="E541" s="27">
        <v>0</v>
      </c>
      <c r="F541" s="27">
        <v>0</v>
      </c>
      <c r="G541" s="27">
        <v>0</v>
      </c>
      <c r="H541" s="27">
        <v>0</v>
      </c>
      <c r="I541" s="27">
        <v>0</v>
      </c>
      <c r="J541" s="27">
        <v>0</v>
      </c>
      <c r="K541" s="27">
        <v>0</v>
      </c>
      <c r="L541" s="27">
        <v>0</v>
      </c>
      <c r="M541" s="27">
        <v>0</v>
      </c>
      <c r="N541" s="27">
        <v>0</v>
      </c>
      <c r="O541" s="27">
        <v>0</v>
      </c>
      <c r="P541" s="27">
        <v>0</v>
      </c>
      <c r="Q541" s="27">
        <v>0</v>
      </c>
      <c r="R541" s="27">
        <v>0</v>
      </c>
      <c r="S541" s="27">
        <v>0</v>
      </c>
      <c r="T541" s="27">
        <v>0</v>
      </c>
      <c r="U541" s="27">
        <v>0</v>
      </c>
      <c r="V541" s="27">
        <v>0</v>
      </c>
      <c r="W541" s="27">
        <v>0</v>
      </c>
      <c r="X541" s="27">
        <v>0</v>
      </c>
      <c r="Y541" s="23"/>
      <c r="Z541" s="25"/>
      <c r="AA541" s="25"/>
      <c r="AB541" s="25"/>
      <c r="AC541" s="26"/>
    </row>
    <row r="542" spans="1:29" ht="70.5" customHeight="1" x14ac:dyDescent="0.25">
      <c r="A542" s="21" t="s">
        <v>1315</v>
      </c>
      <c r="B542" s="22" t="s">
        <v>1316</v>
      </c>
      <c r="C542" s="23"/>
      <c r="D542" s="23" t="s">
        <v>1213</v>
      </c>
      <c r="E542" s="24">
        <f>SUM(E543:E543)+4800</f>
        <v>4800</v>
      </c>
      <c r="F542" s="24">
        <f>SUM(F543:F543)+4800</f>
        <v>4800</v>
      </c>
      <c r="G542" s="24">
        <f t="shared" ref="G542:N542" si="292">SUM(G543:G543)</f>
        <v>0</v>
      </c>
      <c r="H542" s="24">
        <f t="shared" si="292"/>
        <v>0</v>
      </c>
      <c r="I542" s="24">
        <f t="shared" si="292"/>
        <v>0</v>
      </c>
      <c r="J542" s="24">
        <f t="shared" si="292"/>
        <v>0</v>
      </c>
      <c r="K542" s="24">
        <f t="shared" si="292"/>
        <v>0</v>
      </c>
      <c r="L542" s="24">
        <f t="shared" si="292"/>
        <v>0</v>
      </c>
      <c r="M542" s="24">
        <f t="shared" si="292"/>
        <v>0</v>
      </c>
      <c r="N542" s="24">
        <f t="shared" si="292"/>
        <v>0</v>
      </c>
      <c r="O542" s="24">
        <f>SUM(O543:O543)+4800</f>
        <v>4800</v>
      </c>
      <c r="P542" s="24">
        <f>SUM(P543:P543)+4800</f>
        <v>4800</v>
      </c>
      <c r="Q542" s="24">
        <f t="shared" ref="Q542:X542" si="293">SUM(Q543:Q543)</f>
        <v>0</v>
      </c>
      <c r="R542" s="24">
        <f t="shared" si="293"/>
        <v>0</v>
      </c>
      <c r="S542" s="24">
        <f t="shared" si="293"/>
        <v>0</v>
      </c>
      <c r="T542" s="24">
        <f t="shared" si="293"/>
        <v>0</v>
      </c>
      <c r="U542" s="24">
        <f t="shared" si="293"/>
        <v>0</v>
      </c>
      <c r="V542" s="24">
        <f t="shared" si="293"/>
        <v>0</v>
      </c>
      <c r="W542" s="24">
        <f t="shared" si="293"/>
        <v>0</v>
      </c>
      <c r="X542" s="24">
        <f t="shared" si="293"/>
        <v>0</v>
      </c>
      <c r="Y542" s="23" t="s">
        <v>1317</v>
      </c>
      <c r="Z542" s="25" t="s">
        <v>34</v>
      </c>
      <c r="AA542" s="25" t="s">
        <v>293</v>
      </c>
      <c r="AB542" s="25" t="s">
        <v>293</v>
      </c>
      <c r="AC542" s="26"/>
    </row>
    <row r="543" spans="1:29" ht="55.5" customHeight="1" x14ac:dyDescent="0.25">
      <c r="A543" s="21" t="s">
        <v>1318</v>
      </c>
      <c r="B543" s="22" t="s">
        <v>1319</v>
      </c>
      <c r="C543" s="23"/>
      <c r="D543" s="23" t="s">
        <v>1213</v>
      </c>
      <c r="E543" s="27">
        <v>0</v>
      </c>
      <c r="F543" s="27">
        <v>0</v>
      </c>
      <c r="G543" s="27">
        <v>0</v>
      </c>
      <c r="H543" s="27">
        <v>0</v>
      </c>
      <c r="I543" s="27">
        <v>0</v>
      </c>
      <c r="J543" s="27">
        <v>0</v>
      </c>
      <c r="K543" s="27">
        <v>0</v>
      </c>
      <c r="L543" s="27">
        <v>0</v>
      </c>
      <c r="M543" s="27">
        <v>0</v>
      </c>
      <c r="N543" s="27">
        <v>0</v>
      </c>
      <c r="O543" s="27">
        <v>0</v>
      </c>
      <c r="P543" s="27">
        <v>0</v>
      </c>
      <c r="Q543" s="27">
        <v>0</v>
      </c>
      <c r="R543" s="27">
        <v>0</v>
      </c>
      <c r="S543" s="27">
        <v>0</v>
      </c>
      <c r="T543" s="27">
        <v>0</v>
      </c>
      <c r="U543" s="27">
        <v>0</v>
      </c>
      <c r="V543" s="27">
        <v>0</v>
      </c>
      <c r="W543" s="27">
        <v>0</v>
      </c>
      <c r="X543" s="27">
        <v>0</v>
      </c>
      <c r="Y543" s="23"/>
      <c r="Z543" s="25"/>
      <c r="AA543" s="25"/>
      <c r="AB543" s="25"/>
      <c r="AC543" s="26"/>
    </row>
    <row r="544" spans="1:29" ht="118.5" customHeight="1" x14ac:dyDescent="0.25">
      <c r="A544" s="21" t="s">
        <v>1320</v>
      </c>
      <c r="B544" s="22" t="s">
        <v>1321</v>
      </c>
      <c r="C544" s="23"/>
      <c r="D544" s="23" t="s">
        <v>1217</v>
      </c>
      <c r="E544" s="24">
        <f>SUM(E545:E545)+70225</f>
        <v>70225</v>
      </c>
      <c r="F544" s="24">
        <f>SUM(F545:F545)+11230</f>
        <v>11230</v>
      </c>
      <c r="G544" s="24">
        <f>SUM(G545:G545)</f>
        <v>0</v>
      </c>
      <c r="H544" s="24">
        <f>SUM(H545:H545)</f>
        <v>0</v>
      </c>
      <c r="I544" s="24">
        <f>SUM(I545:I545)</f>
        <v>0</v>
      </c>
      <c r="J544" s="24">
        <f>SUM(J545:J545)</f>
        <v>0</v>
      </c>
      <c r="K544" s="24">
        <f>SUM(K545:K545)</f>
        <v>0</v>
      </c>
      <c r="L544" s="24">
        <f>SUM(L545:L545)+58995</f>
        <v>58995</v>
      </c>
      <c r="M544" s="24">
        <f>SUM(M545:M545)</f>
        <v>0</v>
      </c>
      <c r="N544" s="24">
        <f>SUM(N545:N545)</f>
        <v>0</v>
      </c>
      <c r="O544" s="24">
        <f>SUM(O545:O545)+67378</f>
        <v>67378</v>
      </c>
      <c r="P544" s="24">
        <f>SUM(P545:P545)+11230</f>
        <v>11230</v>
      </c>
      <c r="Q544" s="24">
        <f>SUM(Q545:Q545)</f>
        <v>0</v>
      </c>
      <c r="R544" s="24">
        <f>SUM(R545:R545)</f>
        <v>0</v>
      </c>
      <c r="S544" s="24">
        <f>SUM(S545:S545)</f>
        <v>0</v>
      </c>
      <c r="T544" s="24">
        <f>SUM(T545:T545)</f>
        <v>0</v>
      </c>
      <c r="U544" s="24">
        <f>SUM(U545:U545)</f>
        <v>0</v>
      </c>
      <c r="V544" s="24">
        <f>SUM(V545:V545)+56148</f>
        <v>56148</v>
      </c>
      <c r="W544" s="24">
        <f>SUM(W545:W545)</f>
        <v>0</v>
      </c>
      <c r="X544" s="24">
        <f>SUM(X545:X545)</f>
        <v>0</v>
      </c>
      <c r="Y544" s="23" t="s">
        <v>1322</v>
      </c>
      <c r="Z544" s="25" t="s">
        <v>34</v>
      </c>
      <c r="AA544" s="25" t="s">
        <v>640</v>
      </c>
      <c r="AB544" s="25" t="s">
        <v>168</v>
      </c>
      <c r="AC544" s="26" t="s">
        <v>1323</v>
      </c>
    </row>
    <row r="545" spans="1:29" ht="74.25" customHeight="1" x14ac:dyDescent="0.25">
      <c r="A545" s="21" t="s">
        <v>1324</v>
      </c>
      <c r="B545" s="22" t="s">
        <v>1325</v>
      </c>
      <c r="C545" s="23"/>
      <c r="D545" s="23" t="s">
        <v>1213</v>
      </c>
      <c r="E545" s="27">
        <v>0</v>
      </c>
      <c r="F545" s="27">
        <v>0</v>
      </c>
      <c r="G545" s="27">
        <v>0</v>
      </c>
      <c r="H545" s="27">
        <v>0</v>
      </c>
      <c r="I545" s="27">
        <v>0</v>
      </c>
      <c r="J545" s="27">
        <v>0</v>
      </c>
      <c r="K545" s="27">
        <v>0</v>
      </c>
      <c r="L545" s="27">
        <v>0</v>
      </c>
      <c r="M545" s="27">
        <v>0</v>
      </c>
      <c r="N545" s="27">
        <v>0</v>
      </c>
      <c r="O545" s="27">
        <v>0</v>
      </c>
      <c r="P545" s="27">
        <v>0</v>
      </c>
      <c r="Q545" s="27">
        <v>0</v>
      </c>
      <c r="R545" s="27">
        <v>0</v>
      </c>
      <c r="S545" s="27">
        <v>0</v>
      </c>
      <c r="T545" s="27">
        <v>0</v>
      </c>
      <c r="U545" s="27">
        <v>0</v>
      </c>
      <c r="V545" s="27">
        <v>0</v>
      </c>
      <c r="W545" s="27">
        <v>0</v>
      </c>
      <c r="X545" s="27">
        <v>0</v>
      </c>
      <c r="Y545" s="23"/>
      <c r="Z545" s="25"/>
      <c r="AA545" s="25"/>
      <c r="AB545" s="25"/>
      <c r="AC545" s="26"/>
    </row>
    <row r="546" spans="1:29" ht="31.5" customHeight="1" x14ac:dyDescent="0.25">
      <c r="A546" s="15" t="s">
        <v>1326</v>
      </c>
      <c r="B546" s="16" t="s">
        <v>1327</v>
      </c>
      <c r="C546" s="17"/>
      <c r="D546" s="17" t="s">
        <v>1213</v>
      </c>
      <c r="E546" s="18">
        <f t="shared" ref="E546:X546" si="294">E547+E549</f>
        <v>33759</v>
      </c>
      <c r="F546" s="18">
        <f t="shared" si="294"/>
        <v>14459</v>
      </c>
      <c r="G546" s="18">
        <f t="shared" si="294"/>
        <v>0</v>
      </c>
      <c r="H546" s="18">
        <f t="shared" si="294"/>
        <v>0</v>
      </c>
      <c r="I546" s="18">
        <f t="shared" si="294"/>
        <v>19300</v>
      </c>
      <c r="J546" s="18">
        <f t="shared" si="294"/>
        <v>0</v>
      </c>
      <c r="K546" s="18">
        <f t="shared" si="294"/>
        <v>0</v>
      </c>
      <c r="L546" s="18">
        <f t="shared" si="294"/>
        <v>0</v>
      </c>
      <c r="M546" s="18">
        <f t="shared" si="294"/>
        <v>0</v>
      </c>
      <c r="N546" s="18">
        <f t="shared" si="294"/>
        <v>0</v>
      </c>
      <c r="O546" s="18">
        <f t="shared" si="294"/>
        <v>31759</v>
      </c>
      <c r="P546" s="18">
        <f t="shared" si="294"/>
        <v>12459</v>
      </c>
      <c r="Q546" s="18">
        <f t="shared" si="294"/>
        <v>0</v>
      </c>
      <c r="R546" s="18">
        <f t="shared" si="294"/>
        <v>0</v>
      </c>
      <c r="S546" s="18">
        <f t="shared" si="294"/>
        <v>19300</v>
      </c>
      <c r="T546" s="18">
        <f t="shared" si="294"/>
        <v>0</v>
      </c>
      <c r="U546" s="18">
        <f t="shared" si="294"/>
        <v>0</v>
      </c>
      <c r="V546" s="18">
        <f t="shared" si="294"/>
        <v>0</v>
      </c>
      <c r="W546" s="18">
        <f t="shared" si="294"/>
        <v>0</v>
      </c>
      <c r="X546" s="18">
        <f t="shared" si="294"/>
        <v>0</v>
      </c>
      <c r="Y546" s="17"/>
      <c r="Z546" s="19"/>
      <c r="AA546" s="19"/>
      <c r="AB546" s="19"/>
      <c r="AC546" s="20"/>
    </row>
    <row r="547" spans="1:29" ht="94.5" customHeight="1" x14ac:dyDescent="0.25">
      <c r="A547" s="21" t="s">
        <v>1328</v>
      </c>
      <c r="B547" s="22" t="s">
        <v>1329</v>
      </c>
      <c r="C547" s="23"/>
      <c r="D547" s="23" t="s">
        <v>1213</v>
      </c>
      <c r="E547" s="24">
        <f>SUM(E548:E548)+31759</f>
        <v>31759</v>
      </c>
      <c r="F547" s="24">
        <f>SUM(F548:F548)+12459</f>
        <v>12459</v>
      </c>
      <c r="G547" s="24">
        <f>SUM(G548:G548)</f>
        <v>0</v>
      </c>
      <c r="H547" s="24">
        <f>SUM(H548:H548)</f>
        <v>0</v>
      </c>
      <c r="I547" s="24">
        <f>SUM(I548:I548)+19300</f>
        <v>19300</v>
      </c>
      <c r="J547" s="24">
        <f>SUM(J548:J548)</f>
        <v>0</v>
      </c>
      <c r="K547" s="24">
        <f>SUM(K548:K548)</f>
        <v>0</v>
      </c>
      <c r="L547" s="24">
        <f>SUM(L548:L548)</f>
        <v>0</v>
      </c>
      <c r="M547" s="24">
        <f>SUM(M548:M548)</f>
        <v>0</v>
      </c>
      <c r="N547" s="24">
        <f>SUM(N548:N548)</f>
        <v>0</v>
      </c>
      <c r="O547" s="24">
        <f>SUM(O548:O548)+31759</f>
        <v>31759</v>
      </c>
      <c r="P547" s="24">
        <f>SUM(P548:P548)+12459</f>
        <v>12459</v>
      </c>
      <c r="Q547" s="24">
        <f>SUM(Q548:Q548)</f>
        <v>0</v>
      </c>
      <c r="R547" s="24">
        <f>SUM(R548:R548)</f>
        <v>0</v>
      </c>
      <c r="S547" s="24">
        <f>SUM(S548:S548)+19300</f>
        <v>19300</v>
      </c>
      <c r="T547" s="24">
        <f>SUM(T548:T548)</f>
        <v>0</v>
      </c>
      <c r="U547" s="24">
        <f>SUM(U548:U548)</f>
        <v>0</v>
      </c>
      <c r="V547" s="24">
        <f>SUM(V548:V548)</f>
        <v>0</v>
      </c>
      <c r="W547" s="24">
        <f>SUM(W548:W548)</f>
        <v>0</v>
      </c>
      <c r="X547" s="24">
        <f>SUM(X548:X548)</f>
        <v>0</v>
      </c>
      <c r="Y547" s="23" t="s">
        <v>1330</v>
      </c>
      <c r="Z547" s="25" t="s">
        <v>34</v>
      </c>
      <c r="AA547" s="25" t="s">
        <v>84</v>
      </c>
      <c r="AB547" s="25" t="s">
        <v>1277</v>
      </c>
      <c r="AC547" s="26" t="s">
        <v>1331</v>
      </c>
    </row>
    <row r="548" spans="1:29" ht="61.5" customHeight="1" x14ac:dyDescent="0.25">
      <c r="A548" s="21" t="s">
        <v>1332</v>
      </c>
      <c r="B548" s="22" t="s">
        <v>1333</v>
      </c>
      <c r="C548" s="23"/>
      <c r="D548" s="23" t="s">
        <v>1213</v>
      </c>
      <c r="E548" s="27">
        <v>0</v>
      </c>
      <c r="F548" s="27">
        <v>0</v>
      </c>
      <c r="G548" s="27">
        <v>0</v>
      </c>
      <c r="H548" s="27">
        <v>0</v>
      </c>
      <c r="I548" s="27">
        <v>0</v>
      </c>
      <c r="J548" s="27">
        <v>0</v>
      </c>
      <c r="K548" s="27">
        <v>0</v>
      </c>
      <c r="L548" s="27">
        <v>0</v>
      </c>
      <c r="M548" s="27">
        <v>0</v>
      </c>
      <c r="N548" s="27">
        <v>0</v>
      </c>
      <c r="O548" s="27">
        <v>0</v>
      </c>
      <c r="P548" s="27">
        <v>0</v>
      </c>
      <c r="Q548" s="27">
        <v>0</v>
      </c>
      <c r="R548" s="27">
        <v>0</v>
      </c>
      <c r="S548" s="27">
        <v>0</v>
      </c>
      <c r="T548" s="27">
        <v>0</v>
      </c>
      <c r="U548" s="27">
        <v>0</v>
      </c>
      <c r="V548" s="27">
        <v>0</v>
      </c>
      <c r="W548" s="27">
        <v>0</v>
      </c>
      <c r="X548" s="27">
        <v>0</v>
      </c>
      <c r="Y548" s="23"/>
      <c r="Z548" s="25"/>
      <c r="AA548" s="25"/>
      <c r="AB548" s="25"/>
      <c r="AC548" s="26"/>
    </row>
    <row r="549" spans="1:29" ht="51.75" customHeight="1" x14ac:dyDescent="0.25">
      <c r="A549" s="21" t="s">
        <v>1334</v>
      </c>
      <c r="B549" s="22" t="s">
        <v>1335</v>
      </c>
      <c r="C549" s="23" t="s">
        <v>1212</v>
      </c>
      <c r="D549" s="23" t="s">
        <v>1213</v>
      </c>
      <c r="E549" s="24">
        <f>SUM(E550:E550)+2000</f>
        <v>2000</v>
      </c>
      <c r="F549" s="24">
        <f>SUM(F550:F550)+2000</f>
        <v>2000</v>
      </c>
      <c r="G549" s="24">
        <f t="shared" ref="G549:X549" si="295">SUM(G550:G550)</f>
        <v>0</v>
      </c>
      <c r="H549" s="24">
        <f t="shared" si="295"/>
        <v>0</v>
      </c>
      <c r="I549" s="24">
        <f t="shared" si="295"/>
        <v>0</v>
      </c>
      <c r="J549" s="24">
        <f t="shared" si="295"/>
        <v>0</v>
      </c>
      <c r="K549" s="24">
        <f t="shared" si="295"/>
        <v>0</v>
      </c>
      <c r="L549" s="24">
        <f t="shared" si="295"/>
        <v>0</v>
      </c>
      <c r="M549" s="24">
        <f t="shared" si="295"/>
        <v>0</v>
      </c>
      <c r="N549" s="24">
        <f t="shared" si="295"/>
        <v>0</v>
      </c>
      <c r="O549" s="24">
        <f t="shared" si="295"/>
        <v>0</v>
      </c>
      <c r="P549" s="24">
        <f t="shared" si="295"/>
        <v>0</v>
      </c>
      <c r="Q549" s="24">
        <f t="shared" si="295"/>
        <v>0</v>
      </c>
      <c r="R549" s="24">
        <f t="shared" si="295"/>
        <v>0</v>
      </c>
      <c r="S549" s="24">
        <f t="shared" si="295"/>
        <v>0</v>
      </c>
      <c r="T549" s="24">
        <f t="shared" si="295"/>
        <v>0</v>
      </c>
      <c r="U549" s="24">
        <f t="shared" si="295"/>
        <v>0</v>
      </c>
      <c r="V549" s="24">
        <f t="shared" si="295"/>
        <v>0</v>
      </c>
      <c r="W549" s="24">
        <f t="shared" si="295"/>
        <v>0</v>
      </c>
      <c r="X549" s="24">
        <f t="shared" si="295"/>
        <v>0</v>
      </c>
      <c r="Y549" s="23" t="s">
        <v>1336</v>
      </c>
      <c r="Z549" s="25" t="s">
        <v>34</v>
      </c>
      <c r="AA549" s="25" t="s">
        <v>1337</v>
      </c>
      <c r="AB549" s="25" t="s">
        <v>48</v>
      </c>
      <c r="AC549" s="26" t="s">
        <v>1338</v>
      </c>
    </row>
    <row r="550" spans="1:29" ht="54" customHeight="1" x14ac:dyDescent="0.25">
      <c r="A550" s="21" t="s">
        <v>1339</v>
      </c>
      <c r="B550" s="22" t="s">
        <v>1340</v>
      </c>
      <c r="C550" s="23"/>
      <c r="D550" s="23" t="s">
        <v>1213</v>
      </c>
      <c r="E550" s="27">
        <v>0</v>
      </c>
      <c r="F550" s="27">
        <v>0</v>
      </c>
      <c r="G550" s="27">
        <v>0</v>
      </c>
      <c r="H550" s="27">
        <v>0</v>
      </c>
      <c r="I550" s="27">
        <v>0</v>
      </c>
      <c r="J550" s="27">
        <v>0</v>
      </c>
      <c r="K550" s="27">
        <v>0</v>
      </c>
      <c r="L550" s="27">
        <v>0</v>
      </c>
      <c r="M550" s="27">
        <v>0</v>
      </c>
      <c r="N550" s="27">
        <v>0</v>
      </c>
      <c r="O550" s="27">
        <v>0</v>
      </c>
      <c r="P550" s="27">
        <v>0</v>
      </c>
      <c r="Q550" s="27">
        <v>0</v>
      </c>
      <c r="R550" s="27">
        <v>0</v>
      </c>
      <c r="S550" s="27">
        <v>0</v>
      </c>
      <c r="T550" s="27">
        <v>0</v>
      </c>
      <c r="U550" s="27">
        <v>0</v>
      </c>
      <c r="V550" s="27">
        <v>0</v>
      </c>
      <c r="W550" s="27">
        <v>0</v>
      </c>
      <c r="X550" s="27">
        <v>0</v>
      </c>
      <c r="Y550" s="23"/>
      <c r="Z550" s="25"/>
      <c r="AA550" s="25"/>
      <c r="AB550" s="25"/>
      <c r="AC550" s="26"/>
    </row>
    <row r="551" spans="1:29" ht="54" customHeight="1" x14ac:dyDescent="0.25">
      <c r="A551" s="9" t="s">
        <v>1341</v>
      </c>
      <c r="B551" s="10" t="s">
        <v>1342</v>
      </c>
      <c r="C551" s="11"/>
      <c r="D551" s="11" t="s">
        <v>1213</v>
      </c>
      <c r="E551" s="12">
        <f t="shared" ref="E551:X551" si="296">E552+E560+E563+E566+E569+E581+E584+E587</f>
        <v>2293263.73</v>
      </c>
      <c r="F551" s="12">
        <f t="shared" si="296"/>
        <v>1717700</v>
      </c>
      <c r="G551" s="12">
        <f t="shared" si="296"/>
        <v>47659</v>
      </c>
      <c r="H551" s="12">
        <f t="shared" si="296"/>
        <v>0</v>
      </c>
      <c r="I551" s="12">
        <f t="shared" si="296"/>
        <v>491950</v>
      </c>
      <c r="J551" s="12">
        <f t="shared" si="296"/>
        <v>0</v>
      </c>
      <c r="K551" s="12">
        <f t="shared" si="296"/>
        <v>35954.730000000003</v>
      </c>
      <c r="L551" s="12">
        <f t="shared" si="296"/>
        <v>0</v>
      </c>
      <c r="M551" s="12">
        <f t="shared" si="296"/>
        <v>0</v>
      </c>
      <c r="N551" s="12">
        <f t="shared" si="296"/>
        <v>0</v>
      </c>
      <c r="O551" s="12">
        <f t="shared" si="296"/>
        <v>1967508.25</v>
      </c>
      <c r="P551" s="12">
        <f t="shared" si="296"/>
        <v>1703006.34</v>
      </c>
      <c r="Q551" s="12">
        <f t="shared" si="296"/>
        <v>36683.370000000003</v>
      </c>
      <c r="R551" s="12">
        <f t="shared" si="296"/>
        <v>0</v>
      </c>
      <c r="S551" s="12">
        <f t="shared" si="296"/>
        <v>219153.68</v>
      </c>
      <c r="T551" s="12">
        <f t="shared" si="296"/>
        <v>0</v>
      </c>
      <c r="U551" s="12">
        <f t="shared" si="296"/>
        <v>8465.0499999999993</v>
      </c>
      <c r="V551" s="12">
        <f t="shared" si="296"/>
        <v>0</v>
      </c>
      <c r="W551" s="12">
        <f t="shared" si="296"/>
        <v>0</v>
      </c>
      <c r="X551" s="12">
        <f t="shared" si="296"/>
        <v>0</v>
      </c>
      <c r="Y551" s="11"/>
      <c r="Z551" s="13"/>
      <c r="AA551" s="13"/>
      <c r="AB551" s="13"/>
      <c r="AC551" s="14"/>
    </row>
    <row r="552" spans="1:29" ht="57.75" customHeight="1" x14ac:dyDescent="0.25">
      <c r="A552" s="15" t="s">
        <v>1343</v>
      </c>
      <c r="B552" s="16" t="s">
        <v>1344</v>
      </c>
      <c r="C552" s="17"/>
      <c r="D552" s="17" t="s">
        <v>1213</v>
      </c>
      <c r="E552" s="18">
        <f t="shared" ref="E552:X552" si="297">E553+E555</f>
        <v>36862.730000000003</v>
      </c>
      <c r="F552" s="18">
        <f t="shared" si="297"/>
        <v>908</v>
      </c>
      <c r="G552" s="18">
        <f t="shared" si="297"/>
        <v>0</v>
      </c>
      <c r="H552" s="18">
        <f t="shared" si="297"/>
        <v>0</v>
      </c>
      <c r="I552" s="18">
        <f t="shared" si="297"/>
        <v>0</v>
      </c>
      <c r="J552" s="18">
        <f t="shared" si="297"/>
        <v>0</v>
      </c>
      <c r="K552" s="18">
        <f t="shared" si="297"/>
        <v>35954.730000000003</v>
      </c>
      <c r="L552" s="18">
        <f t="shared" si="297"/>
        <v>0</v>
      </c>
      <c r="M552" s="18">
        <f t="shared" si="297"/>
        <v>0</v>
      </c>
      <c r="N552" s="18">
        <f t="shared" si="297"/>
        <v>0</v>
      </c>
      <c r="O552" s="18">
        <f t="shared" si="297"/>
        <v>9373.06</v>
      </c>
      <c r="P552" s="18">
        <f t="shared" si="297"/>
        <v>908.01</v>
      </c>
      <c r="Q552" s="18">
        <f t="shared" si="297"/>
        <v>0</v>
      </c>
      <c r="R552" s="18">
        <f t="shared" si="297"/>
        <v>0</v>
      </c>
      <c r="S552" s="18">
        <f t="shared" si="297"/>
        <v>0</v>
      </c>
      <c r="T552" s="18">
        <f t="shared" si="297"/>
        <v>0</v>
      </c>
      <c r="U552" s="18">
        <f t="shared" si="297"/>
        <v>8465.0499999999993</v>
      </c>
      <c r="V552" s="18">
        <f t="shared" si="297"/>
        <v>0</v>
      </c>
      <c r="W552" s="18">
        <f t="shared" si="297"/>
        <v>0</v>
      </c>
      <c r="X552" s="18">
        <f t="shared" si="297"/>
        <v>0</v>
      </c>
      <c r="Y552" s="17"/>
      <c r="Z552" s="19"/>
      <c r="AA552" s="19"/>
      <c r="AB552" s="19"/>
      <c r="AC552" s="20"/>
    </row>
    <row r="553" spans="1:29" ht="35.25" customHeight="1" x14ac:dyDescent="0.25">
      <c r="A553" s="21" t="s">
        <v>1345</v>
      </c>
      <c r="B553" s="22" t="s">
        <v>1346</v>
      </c>
      <c r="C553" s="23"/>
      <c r="D553" s="23" t="s">
        <v>1213</v>
      </c>
      <c r="E553" s="24">
        <f>SUM(E554:E554)+908</f>
        <v>908</v>
      </c>
      <c r="F553" s="24">
        <f>SUM(F554:F554)+908</f>
        <v>908</v>
      </c>
      <c r="G553" s="24">
        <f t="shared" ref="G553:N553" si="298">SUM(G554:G554)</f>
        <v>0</v>
      </c>
      <c r="H553" s="24">
        <f t="shared" si="298"/>
        <v>0</v>
      </c>
      <c r="I553" s="24">
        <f t="shared" si="298"/>
        <v>0</v>
      </c>
      <c r="J553" s="24">
        <f t="shared" si="298"/>
        <v>0</v>
      </c>
      <c r="K553" s="24">
        <f t="shared" si="298"/>
        <v>0</v>
      </c>
      <c r="L553" s="24">
        <f t="shared" si="298"/>
        <v>0</v>
      </c>
      <c r="M553" s="24">
        <f t="shared" si="298"/>
        <v>0</v>
      </c>
      <c r="N553" s="24">
        <f t="shared" si="298"/>
        <v>0</v>
      </c>
      <c r="O553" s="24">
        <f>SUM(O554:O554)+908.01</f>
        <v>908.01</v>
      </c>
      <c r="P553" s="24">
        <f>SUM(P554:P554)+908.01</f>
        <v>908.01</v>
      </c>
      <c r="Q553" s="24">
        <f t="shared" ref="Q553:X553" si="299">SUM(Q554:Q554)</f>
        <v>0</v>
      </c>
      <c r="R553" s="24">
        <f t="shared" si="299"/>
        <v>0</v>
      </c>
      <c r="S553" s="24">
        <f t="shared" si="299"/>
        <v>0</v>
      </c>
      <c r="T553" s="24">
        <f t="shared" si="299"/>
        <v>0</v>
      </c>
      <c r="U553" s="24">
        <f t="shared" si="299"/>
        <v>0</v>
      </c>
      <c r="V553" s="24">
        <f t="shared" si="299"/>
        <v>0</v>
      </c>
      <c r="W553" s="24">
        <f t="shared" si="299"/>
        <v>0</v>
      </c>
      <c r="X553" s="24">
        <f t="shared" si="299"/>
        <v>0</v>
      </c>
      <c r="Y553" s="23" t="s">
        <v>1347</v>
      </c>
      <c r="Z553" s="25" t="s">
        <v>34</v>
      </c>
      <c r="AA553" s="25" t="s">
        <v>159</v>
      </c>
      <c r="AB553" s="25" t="s">
        <v>159</v>
      </c>
      <c r="AC553" s="26"/>
    </row>
    <row r="554" spans="1:29" ht="40.5" x14ac:dyDescent="0.25">
      <c r="A554" s="21" t="s">
        <v>1348</v>
      </c>
      <c r="B554" s="22" t="s">
        <v>1349</v>
      </c>
      <c r="C554" s="23"/>
      <c r="D554" s="23" t="s">
        <v>1213</v>
      </c>
      <c r="E554" s="27">
        <v>0</v>
      </c>
      <c r="F554" s="27">
        <v>0</v>
      </c>
      <c r="G554" s="27">
        <v>0</v>
      </c>
      <c r="H554" s="27">
        <v>0</v>
      </c>
      <c r="I554" s="27">
        <v>0</v>
      </c>
      <c r="J554" s="27">
        <v>0</v>
      </c>
      <c r="K554" s="27">
        <v>0</v>
      </c>
      <c r="L554" s="27">
        <v>0</v>
      </c>
      <c r="M554" s="27">
        <v>0</v>
      </c>
      <c r="N554" s="27">
        <v>0</v>
      </c>
      <c r="O554" s="27">
        <v>0</v>
      </c>
      <c r="P554" s="27">
        <v>0</v>
      </c>
      <c r="Q554" s="27">
        <v>0</v>
      </c>
      <c r="R554" s="27">
        <v>0</v>
      </c>
      <c r="S554" s="27">
        <v>0</v>
      </c>
      <c r="T554" s="27">
        <v>0</v>
      </c>
      <c r="U554" s="27">
        <v>0</v>
      </c>
      <c r="V554" s="27">
        <v>0</v>
      </c>
      <c r="W554" s="27">
        <v>0</v>
      </c>
      <c r="X554" s="27">
        <v>0</v>
      </c>
      <c r="Y554" s="23"/>
      <c r="Z554" s="25"/>
      <c r="AA554" s="25"/>
      <c r="AB554" s="25"/>
      <c r="AC554" s="26"/>
    </row>
    <row r="555" spans="1:29" ht="98.25" customHeight="1" x14ac:dyDescent="0.25">
      <c r="A555" s="21" t="s">
        <v>1350</v>
      </c>
      <c r="B555" s="22" t="s">
        <v>1351</v>
      </c>
      <c r="C555" s="23" t="s">
        <v>1212</v>
      </c>
      <c r="D555" s="23" t="s">
        <v>1352</v>
      </c>
      <c r="E555" s="24">
        <f>SUM(E556:E559)+35954.73</f>
        <v>35954.730000000003</v>
      </c>
      <c r="F555" s="24">
        <f>SUM(F556:F559)</f>
        <v>0</v>
      </c>
      <c r="G555" s="24">
        <f>SUM(G556:G559)</f>
        <v>0</v>
      </c>
      <c r="H555" s="24">
        <f>SUM(H556:H559)</f>
        <v>0</v>
      </c>
      <c r="I555" s="24">
        <f>SUM(I556:I559)</f>
        <v>0</v>
      </c>
      <c r="J555" s="24">
        <f>SUM(J556:J559)</f>
        <v>0</v>
      </c>
      <c r="K555" s="24">
        <f>SUM(K556:K559)+35954.73</f>
        <v>35954.730000000003</v>
      </c>
      <c r="L555" s="24">
        <f>SUM(L556:L559)</f>
        <v>0</v>
      </c>
      <c r="M555" s="24">
        <f>SUM(M556:M559)</f>
        <v>0</v>
      </c>
      <c r="N555" s="24">
        <f>SUM(N556:N559)</f>
        <v>0</v>
      </c>
      <c r="O555" s="24">
        <f>SUM(O556:O559)+8465.05</f>
        <v>8465.0499999999993</v>
      </c>
      <c r="P555" s="24">
        <f>SUM(P556:P559)</f>
        <v>0</v>
      </c>
      <c r="Q555" s="24">
        <f>SUM(Q556:Q559)</f>
        <v>0</v>
      </c>
      <c r="R555" s="24">
        <f>SUM(R556:R559)</f>
        <v>0</v>
      </c>
      <c r="S555" s="24">
        <f>SUM(S556:S559)</f>
        <v>0</v>
      </c>
      <c r="T555" s="24">
        <f>SUM(T556:T559)</f>
        <v>0</v>
      </c>
      <c r="U555" s="24">
        <f>SUM(U556:U559)+8465.05</f>
        <v>8465.0499999999993</v>
      </c>
      <c r="V555" s="24">
        <f>SUM(V556:V559)</f>
        <v>0</v>
      </c>
      <c r="W555" s="24">
        <f>SUM(W556:W559)</f>
        <v>0</v>
      </c>
      <c r="X555" s="24">
        <f>SUM(X556:X559)</f>
        <v>0</v>
      </c>
      <c r="Y555" s="23" t="s">
        <v>1353</v>
      </c>
      <c r="Z555" s="25" t="s">
        <v>34</v>
      </c>
      <c r="AA555" s="25" t="s">
        <v>42</v>
      </c>
      <c r="AB555" s="25" t="s">
        <v>42</v>
      </c>
      <c r="AC555" s="26"/>
    </row>
    <row r="556" spans="1:29" ht="40.5" x14ac:dyDescent="0.25">
      <c r="A556" s="28"/>
      <c r="B556" s="29"/>
      <c r="C556" s="30"/>
      <c r="D556" s="30"/>
      <c r="E556" s="31">
        <v>0</v>
      </c>
      <c r="F556" s="31">
        <v>0</v>
      </c>
      <c r="G556" s="31">
        <v>0</v>
      </c>
      <c r="H556" s="31">
        <v>0</v>
      </c>
      <c r="I556" s="31">
        <v>0</v>
      </c>
      <c r="J556" s="31">
        <v>0</v>
      </c>
      <c r="K556" s="31">
        <v>0</v>
      </c>
      <c r="L556" s="31">
        <v>0</v>
      </c>
      <c r="M556" s="31">
        <v>0</v>
      </c>
      <c r="N556" s="31">
        <v>0</v>
      </c>
      <c r="O556" s="31">
        <v>0</v>
      </c>
      <c r="P556" s="31">
        <v>0</v>
      </c>
      <c r="Q556" s="31">
        <v>0</v>
      </c>
      <c r="R556" s="31">
        <v>0</v>
      </c>
      <c r="S556" s="31">
        <v>0</v>
      </c>
      <c r="T556" s="31">
        <v>0</v>
      </c>
      <c r="U556" s="31">
        <v>0</v>
      </c>
      <c r="V556" s="31">
        <v>0</v>
      </c>
      <c r="W556" s="31">
        <v>0</v>
      </c>
      <c r="X556" s="31">
        <v>0</v>
      </c>
      <c r="Y556" s="30" t="s">
        <v>1354</v>
      </c>
      <c r="Z556" s="32" t="s">
        <v>34</v>
      </c>
      <c r="AA556" s="32" t="s">
        <v>48</v>
      </c>
      <c r="AB556" s="32" t="s">
        <v>48</v>
      </c>
      <c r="AC556" s="33"/>
    </row>
    <row r="557" spans="1:29" ht="72" customHeight="1" x14ac:dyDescent="0.25">
      <c r="A557" s="28"/>
      <c r="B557" s="29"/>
      <c r="C557" s="30"/>
      <c r="D557" s="30"/>
      <c r="E557" s="31">
        <v>0</v>
      </c>
      <c r="F557" s="31">
        <v>0</v>
      </c>
      <c r="G557" s="31">
        <v>0</v>
      </c>
      <c r="H557" s="31">
        <v>0</v>
      </c>
      <c r="I557" s="31">
        <v>0</v>
      </c>
      <c r="J557" s="31">
        <v>0</v>
      </c>
      <c r="K557" s="31">
        <v>0</v>
      </c>
      <c r="L557" s="31">
        <v>0</v>
      </c>
      <c r="M557" s="31">
        <v>0</v>
      </c>
      <c r="N557" s="31">
        <v>0</v>
      </c>
      <c r="O557" s="31">
        <v>0</v>
      </c>
      <c r="P557" s="31">
        <v>0</v>
      </c>
      <c r="Q557" s="31">
        <v>0</v>
      </c>
      <c r="R557" s="31">
        <v>0</v>
      </c>
      <c r="S557" s="31">
        <v>0</v>
      </c>
      <c r="T557" s="31">
        <v>0</v>
      </c>
      <c r="U557" s="31">
        <v>0</v>
      </c>
      <c r="V557" s="31">
        <v>0</v>
      </c>
      <c r="W557" s="31">
        <v>0</v>
      </c>
      <c r="X557" s="31">
        <v>0</v>
      </c>
      <c r="Y557" s="30" t="s">
        <v>1355</v>
      </c>
      <c r="Z557" s="32" t="s">
        <v>34</v>
      </c>
      <c r="AA557" s="32" t="s">
        <v>48</v>
      </c>
      <c r="AB557" s="32" t="s">
        <v>48</v>
      </c>
      <c r="AC557" s="33"/>
    </row>
    <row r="558" spans="1:29" ht="48" customHeight="1" x14ac:dyDescent="0.25">
      <c r="A558" s="28"/>
      <c r="B558" s="29"/>
      <c r="C558" s="30"/>
      <c r="D558" s="30"/>
      <c r="E558" s="31">
        <v>0</v>
      </c>
      <c r="F558" s="31">
        <v>0</v>
      </c>
      <c r="G558" s="31">
        <v>0</v>
      </c>
      <c r="H558" s="31">
        <v>0</v>
      </c>
      <c r="I558" s="31">
        <v>0</v>
      </c>
      <c r="J558" s="31">
        <v>0</v>
      </c>
      <c r="K558" s="31">
        <v>0</v>
      </c>
      <c r="L558" s="31">
        <v>0</v>
      </c>
      <c r="M558" s="31">
        <v>0</v>
      </c>
      <c r="N558" s="31">
        <v>0</v>
      </c>
      <c r="O558" s="31">
        <v>0</v>
      </c>
      <c r="P558" s="31">
        <v>0</v>
      </c>
      <c r="Q558" s="31">
        <v>0</v>
      </c>
      <c r="R558" s="31">
        <v>0</v>
      </c>
      <c r="S558" s="31">
        <v>0</v>
      </c>
      <c r="T558" s="31">
        <v>0</v>
      </c>
      <c r="U558" s="31">
        <v>0</v>
      </c>
      <c r="V558" s="31">
        <v>0</v>
      </c>
      <c r="W558" s="31">
        <v>0</v>
      </c>
      <c r="X558" s="31">
        <v>0</v>
      </c>
      <c r="Y558" s="30" t="s">
        <v>1356</v>
      </c>
      <c r="Z558" s="32" t="s">
        <v>34</v>
      </c>
      <c r="AA558" s="32" t="s">
        <v>48</v>
      </c>
      <c r="AB558" s="32" t="s">
        <v>48</v>
      </c>
      <c r="AC558" s="33"/>
    </row>
    <row r="559" spans="1:29" ht="51.75" customHeight="1" x14ac:dyDescent="0.25">
      <c r="A559" s="21" t="s">
        <v>1357</v>
      </c>
      <c r="B559" s="22" t="s">
        <v>1358</v>
      </c>
      <c r="C559" s="23" t="s">
        <v>1212</v>
      </c>
      <c r="D559" s="23" t="s">
        <v>1352</v>
      </c>
      <c r="E559" s="27">
        <v>0</v>
      </c>
      <c r="F559" s="27">
        <v>0</v>
      </c>
      <c r="G559" s="27">
        <v>0</v>
      </c>
      <c r="H559" s="27">
        <v>0</v>
      </c>
      <c r="I559" s="27">
        <v>0</v>
      </c>
      <c r="J559" s="27">
        <v>0</v>
      </c>
      <c r="K559" s="27">
        <v>0</v>
      </c>
      <c r="L559" s="27">
        <v>0</v>
      </c>
      <c r="M559" s="27">
        <v>0</v>
      </c>
      <c r="N559" s="27">
        <v>0</v>
      </c>
      <c r="O559" s="27">
        <v>0</v>
      </c>
      <c r="P559" s="27">
        <v>0</v>
      </c>
      <c r="Q559" s="27">
        <v>0</v>
      </c>
      <c r="R559" s="27">
        <v>0</v>
      </c>
      <c r="S559" s="27">
        <v>0</v>
      </c>
      <c r="T559" s="27">
        <v>0</v>
      </c>
      <c r="U559" s="27">
        <v>0</v>
      </c>
      <c r="V559" s="27">
        <v>0</v>
      </c>
      <c r="W559" s="27">
        <v>0</v>
      </c>
      <c r="X559" s="27">
        <v>0</v>
      </c>
      <c r="Y559" s="23"/>
      <c r="Z559" s="25"/>
      <c r="AA559" s="25"/>
      <c r="AB559" s="25"/>
      <c r="AC559" s="26"/>
    </row>
    <row r="560" spans="1:29" ht="40.5" x14ac:dyDescent="0.25">
      <c r="A560" s="15" t="s">
        <v>1359</v>
      </c>
      <c r="B560" s="16" t="s">
        <v>1360</v>
      </c>
      <c r="C560" s="17"/>
      <c r="D560" s="17" t="s">
        <v>1213</v>
      </c>
      <c r="E560" s="18">
        <f t="shared" ref="E560:N561" si="300">SUM(E561:E561)</f>
        <v>0</v>
      </c>
      <c r="F560" s="18">
        <f t="shared" si="300"/>
        <v>0</v>
      </c>
      <c r="G560" s="18">
        <f t="shared" si="300"/>
        <v>0</v>
      </c>
      <c r="H560" s="18">
        <f t="shared" si="300"/>
        <v>0</v>
      </c>
      <c r="I560" s="18">
        <f t="shared" si="300"/>
        <v>0</v>
      </c>
      <c r="J560" s="18">
        <f t="shared" si="300"/>
        <v>0</v>
      </c>
      <c r="K560" s="18">
        <f t="shared" si="300"/>
        <v>0</v>
      </c>
      <c r="L560" s="18">
        <f t="shared" si="300"/>
        <v>0</v>
      </c>
      <c r="M560" s="18">
        <f t="shared" si="300"/>
        <v>0</v>
      </c>
      <c r="N560" s="18">
        <f t="shared" si="300"/>
        <v>0</v>
      </c>
      <c r="O560" s="18">
        <f t="shared" ref="O560:X561" si="301">SUM(O561:O561)</f>
        <v>0</v>
      </c>
      <c r="P560" s="18">
        <f t="shared" si="301"/>
        <v>0</v>
      </c>
      <c r="Q560" s="18">
        <f t="shared" si="301"/>
        <v>0</v>
      </c>
      <c r="R560" s="18">
        <f t="shared" si="301"/>
        <v>0</v>
      </c>
      <c r="S560" s="18">
        <f t="shared" si="301"/>
        <v>0</v>
      </c>
      <c r="T560" s="18">
        <f t="shared" si="301"/>
        <v>0</v>
      </c>
      <c r="U560" s="18">
        <f t="shared" si="301"/>
        <v>0</v>
      </c>
      <c r="V560" s="18">
        <f t="shared" si="301"/>
        <v>0</v>
      </c>
      <c r="W560" s="18">
        <f t="shared" si="301"/>
        <v>0</v>
      </c>
      <c r="X560" s="18">
        <f t="shared" si="301"/>
        <v>0</v>
      </c>
      <c r="Y560" s="17"/>
      <c r="Z560" s="19"/>
      <c r="AA560" s="19"/>
      <c r="AB560" s="19"/>
      <c r="AC560" s="20"/>
    </row>
    <row r="561" spans="1:29" ht="60.75" x14ac:dyDescent="0.25">
      <c r="A561" s="21" t="s">
        <v>1361</v>
      </c>
      <c r="B561" s="22" t="s">
        <v>1362</v>
      </c>
      <c r="C561" s="23"/>
      <c r="D561" s="23" t="s">
        <v>1213</v>
      </c>
      <c r="E561" s="24">
        <f t="shared" si="300"/>
        <v>0</v>
      </c>
      <c r="F561" s="24">
        <f t="shared" si="300"/>
        <v>0</v>
      </c>
      <c r="G561" s="24">
        <f t="shared" si="300"/>
        <v>0</v>
      </c>
      <c r="H561" s="24">
        <f t="shared" si="300"/>
        <v>0</v>
      </c>
      <c r="I561" s="24">
        <f t="shared" si="300"/>
        <v>0</v>
      </c>
      <c r="J561" s="24">
        <f t="shared" si="300"/>
        <v>0</v>
      </c>
      <c r="K561" s="24">
        <f t="shared" si="300"/>
        <v>0</v>
      </c>
      <c r="L561" s="24">
        <f t="shared" si="300"/>
        <v>0</v>
      </c>
      <c r="M561" s="24">
        <f t="shared" si="300"/>
        <v>0</v>
      </c>
      <c r="N561" s="24">
        <f t="shared" si="300"/>
        <v>0</v>
      </c>
      <c r="O561" s="24">
        <f t="shared" si="301"/>
        <v>0</v>
      </c>
      <c r="P561" s="24">
        <f t="shared" si="301"/>
        <v>0</v>
      </c>
      <c r="Q561" s="24">
        <f t="shared" si="301"/>
        <v>0</v>
      </c>
      <c r="R561" s="24">
        <f t="shared" si="301"/>
        <v>0</v>
      </c>
      <c r="S561" s="24">
        <f t="shared" si="301"/>
        <v>0</v>
      </c>
      <c r="T561" s="24">
        <f t="shared" si="301"/>
        <v>0</v>
      </c>
      <c r="U561" s="24">
        <f t="shared" si="301"/>
        <v>0</v>
      </c>
      <c r="V561" s="24">
        <f t="shared" si="301"/>
        <v>0</v>
      </c>
      <c r="W561" s="24">
        <f t="shared" si="301"/>
        <v>0</v>
      </c>
      <c r="X561" s="24">
        <f t="shared" si="301"/>
        <v>0</v>
      </c>
      <c r="Y561" s="23" t="s">
        <v>1363</v>
      </c>
      <c r="Z561" s="25" t="s">
        <v>34</v>
      </c>
      <c r="AA561" s="25" t="s">
        <v>292</v>
      </c>
      <c r="AB561" s="25" t="s">
        <v>164</v>
      </c>
      <c r="AC561" s="26" t="s">
        <v>1364</v>
      </c>
    </row>
    <row r="562" spans="1:29" ht="54" customHeight="1" x14ac:dyDescent="0.25">
      <c r="A562" s="21" t="s">
        <v>1365</v>
      </c>
      <c r="B562" s="22" t="s">
        <v>1366</v>
      </c>
      <c r="C562" s="23"/>
      <c r="D562" s="23" t="s">
        <v>1213</v>
      </c>
      <c r="E562" s="27">
        <v>0</v>
      </c>
      <c r="F562" s="27">
        <v>0</v>
      </c>
      <c r="G562" s="27">
        <v>0</v>
      </c>
      <c r="H562" s="27">
        <v>0</v>
      </c>
      <c r="I562" s="27">
        <v>0</v>
      </c>
      <c r="J562" s="27">
        <v>0</v>
      </c>
      <c r="K562" s="27">
        <v>0</v>
      </c>
      <c r="L562" s="27">
        <v>0</v>
      </c>
      <c r="M562" s="27">
        <v>0</v>
      </c>
      <c r="N562" s="27">
        <v>0</v>
      </c>
      <c r="O562" s="27">
        <v>0</v>
      </c>
      <c r="P562" s="27">
        <v>0</v>
      </c>
      <c r="Q562" s="27">
        <v>0</v>
      </c>
      <c r="R562" s="27">
        <v>0</v>
      </c>
      <c r="S562" s="27">
        <v>0</v>
      </c>
      <c r="T562" s="27">
        <v>0</v>
      </c>
      <c r="U562" s="27">
        <v>0</v>
      </c>
      <c r="V562" s="27">
        <v>0</v>
      </c>
      <c r="W562" s="27">
        <v>0</v>
      </c>
      <c r="X562" s="27">
        <v>0</v>
      </c>
      <c r="Y562" s="23"/>
      <c r="Z562" s="25"/>
      <c r="AA562" s="25"/>
      <c r="AB562" s="25"/>
      <c r="AC562" s="26"/>
    </row>
    <row r="563" spans="1:29" ht="60.75" x14ac:dyDescent="0.25">
      <c r="A563" s="15" t="s">
        <v>1367</v>
      </c>
      <c r="B563" s="16" t="s">
        <v>1368</v>
      </c>
      <c r="C563" s="17"/>
      <c r="D563" s="17" t="s">
        <v>1213</v>
      </c>
      <c r="E563" s="18">
        <f t="shared" ref="E563:N564" si="302">SUM(E564:E564)</f>
        <v>0</v>
      </c>
      <c r="F563" s="18">
        <f t="shared" si="302"/>
        <v>0</v>
      </c>
      <c r="G563" s="18">
        <f t="shared" si="302"/>
        <v>0</v>
      </c>
      <c r="H563" s="18">
        <f t="shared" si="302"/>
        <v>0</v>
      </c>
      <c r="I563" s="18">
        <f t="shared" si="302"/>
        <v>0</v>
      </c>
      <c r="J563" s="18">
        <f t="shared" si="302"/>
        <v>0</v>
      </c>
      <c r="K563" s="18">
        <f t="shared" si="302"/>
        <v>0</v>
      </c>
      <c r="L563" s="18">
        <f t="shared" si="302"/>
        <v>0</v>
      </c>
      <c r="M563" s="18">
        <f t="shared" si="302"/>
        <v>0</v>
      </c>
      <c r="N563" s="18">
        <f t="shared" si="302"/>
        <v>0</v>
      </c>
      <c r="O563" s="18">
        <f t="shared" ref="O563:X564" si="303">SUM(O564:O564)</f>
        <v>0</v>
      </c>
      <c r="P563" s="18">
        <f t="shared" si="303"/>
        <v>0</v>
      </c>
      <c r="Q563" s="18">
        <f t="shared" si="303"/>
        <v>0</v>
      </c>
      <c r="R563" s="18">
        <f t="shared" si="303"/>
        <v>0</v>
      </c>
      <c r="S563" s="18">
        <f t="shared" si="303"/>
        <v>0</v>
      </c>
      <c r="T563" s="18">
        <f t="shared" si="303"/>
        <v>0</v>
      </c>
      <c r="U563" s="18">
        <f t="shared" si="303"/>
        <v>0</v>
      </c>
      <c r="V563" s="18">
        <f t="shared" si="303"/>
        <v>0</v>
      </c>
      <c r="W563" s="18">
        <f t="shared" si="303"/>
        <v>0</v>
      </c>
      <c r="X563" s="18">
        <f t="shared" si="303"/>
        <v>0</v>
      </c>
      <c r="Y563" s="17"/>
      <c r="Z563" s="19"/>
      <c r="AA563" s="19"/>
      <c r="AB563" s="19"/>
      <c r="AC563" s="20"/>
    </row>
    <row r="564" spans="1:29" ht="51.75" customHeight="1" x14ac:dyDescent="0.25">
      <c r="A564" s="21" t="s">
        <v>1369</v>
      </c>
      <c r="B564" s="22" t="s">
        <v>1370</v>
      </c>
      <c r="C564" s="23"/>
      <c r="D564" s="23" t="s">
        <v>1213</v>
      </c>
      <c r="E564" s="24">
        <f t="shared" si="302"/>
        <v>0</v>
      </c>
      <c r="F564" s="24">
        <f t="shared" si="302"/>
        <v>0</v>
      </c>
      <c r="G564" s="24">
        <f t="shared" si="302"/>
        <v>0</v>
      </c>
      <c r="H564" s="24">
        <f t="shared" si="302"/>
        <v>0</v>
      </c>
      <c r="I564" s="24">
        <f t="shared" si="302"/>
        <v>0</v>
      </c>
      <c r="J564" s="24">
        <f t="shared" si="302"/>
        <v>0</v>
      </c>
      <c r="K564" s="24">
        <f t="shared" si="302"/>
        <v>0</v>
      </c>
      <c r="L564" s="24">
        <f t="shared" si="302"/>
        <v>0</v>
      </c>
      <c r="M564" s="24">
        <f t="shared" si="302"/>
        <v>0</v>
      </c>
      <c r="N564" s="24">
        <f t="shared" si="302"/>
        <v>0</v>
      </c>
      <c r="O564" s="24">
        <f t="shared" si="303"/>
        <v>0</v>
      </c>
      <c r="P564" s="24">
        <f t="shared" si="303"/>
        <v>0</v>
      </c>
      <c r="Q564" s="24">
        <f t="shared" si="303"/>
        <v>0</v>
      </c>
      <c r="R564" s="24">
        <f t="shared" si="303"/>
        <v>0</v>
      </c>
      <c r="S564" s="24">
        <f t="shared" si="303"/>
        <v>0</v>
      </c>
      <c r="T564" s="24">
        <f t="shared" si="303"/>
        <v>0</v>
      </c>
      <c r="U564" s="24">
        <f t="shared" si="303"/>
        <v>0</v>
      </c>
      <c r="V564" s="24">
        <f t="shared" si="303"/>
        <v>0</v>
      </c>
      <c r="W564" s="24">
        <f t="shared" si="303"/>
        <v>0</v>
      </c>
      <c r="X564" s="24">
        <f t="shared" si="303"/>
        <v>0</v>
      </c>
      <c r="Y564" s="23" t="s">
        <v>1371</v>
      </c>
      <c r="Z564" s="25" t="s">
        <v>34</v>
      </c>
      <c r="AA564" s="25" t="s">
        <v>42</v>
      </c>
      <c r="AB564" s="25" t="s">
        <v>48</v>
      </c>
      <c r="AC564" s="26" t="s">
        <v>1372</v>
      </c>
    </row>
    <row r="565" spans="1:29" ht="57.75" customHeight="1" x14ac:dyDescent="0.25">
      <c r="A565" s="21" t="s">
        <v>1373</v>
      </c>
      <c r="B565" s="22" t="s">
        <v>1374</v>
      </c>
      <c r="C565" s="23"/>
      <c r="D565" s="23" t="s">
        <v>1213</v>
      </c>
      <c r="E565" s="27">
        <v>0</v>
      </c>
      <c r="F565" s="27">
        <v>0</v>
      </c>
      <c r="G565" s="27">
        <v>0</v>
      </c>
      <c r="H565" s="27">
        <v>0</v>
      </c>
      <c r="I565" s="27">
        <v>0</v>
      </c>
      <c r="J565" s="27">
        <v>0</v>
      </c>
      <c r="K565" s="27">
        <v>0</v>
      </c>
      <c r="L565" s="27">
        <v>0</v>
      </c>
      <c r="M565" s="27">
        <v>0</v>
      </c>
      <c r="N565" s="27">
        <v>0</v>
      </c>
      <c r="O565" s="27">
        <v>0</v>
      </c>
      <c r="P565" s="27">
        <v>0</v>
      </c>
      <c r="Q565" s="27">
        <v>0</v>
      </c>
      <c r="R565" s="27">
        <v>0</v>
      </c>
      <c r="S565" s="27">
        <v>0</v>
      </c>
      <c r="T565" s="27">
        <v>0</v>
      </c>
      <c r="U565" s="27">
        <v>0</v>
      </c>
      <c r="V565" s="27">
        <v>0</v>
      </c>
      <c r="W565" s="27">
        <v>0</v>
      </c>
      <c r="X565" s="27">
        <v>0</v>
      </c>
      <c r="Y565" s="23"/>
      <c r="Z565" s="25"/>
      <c r="AA565" s="25"/>
      <c r="AB565" s="25"/>
      <c r="AC565" s="26"/>
    </row>
    <row r="566" spans="1:29" ht="60.75" x14ac:dyDescent="0.25">
      <c r="A566" s="15" t="s">
        <v>1375</v>
      </c>
      <c r="B566" s="16" t="s">
        <v>1376</v>
      </c>
      <c r="C566" s="17"/>
      <c r="D566" s="17" t="s">
        <v>1213</v>
      </c>
      <c r="E566" s="18">
        <f t="shared" ref="E566:X566" si="304">SUM(E567:E567)</f>
        <v>218540</v>
      </c>
      <c r="F566" s="18">
        <f t="shared" si="304"/>
        <v>176881</v>
      </c>
      <c r="G566" s="18">
        <f t="shared" si="304"/>
        <v>41659</v>
      </c>
      <c r="H566" s="18">
        <f t="shared" si="304"/>
        <v>0</v>
      </c>
      <c r="I566" s="18">
        <f t="shared" si="304"/>
        <v>0</v>
      </c>
      <c r="J566" s="18">
        <f t="shared" si="304"/>
        <v>0</v>
      </c>
      <c r="K566" s="18">
        <f t="shared" si="304"/>
        <v>0</v>
      </c>
      <c r="L566" s="18">
        <f t="shared" si="304"/>
        <v>0</v>
      </c>
      <c r="M566" s="18">
        <f t="shared" si="304"/>
        <v>0</v>
      </c>
      <c r="N566" s="18">
        <f t="shared" si="304"/>
        <v>0</v>
      </c>
      <c r="O566" s="18">
        <f t="shared" si="304"/>
        <v>213764.18</v>
      </c>
      <c r="P566" s="18">
        <f t="shared" si="304"/>
        <v>176881</v>
      </c>
      <c r="Q566" s="18">
        <f t="shared" si="304"/>
        <v>36683.370000000003</v>
      </c>
      <c r="R566" s="18">
        <f t="shared" si="304"/>
        <v>0</v>
      </c>
      <c r="S566" s="18">
        <f t="shared" si="304"/>
        <v>0</v>
      </c>
      <c r="T566" s="18">
        <f t="shared" si="304"/>
        <v>0</v>
      </c>
      <c r="U566" s="18">
        <f t="shared" si="304"/>
        <v>0</v>
      </c>
      <c r="V566" s="18">
        <f t="shared" si="304"/>
        <v>0</v>
      </c>
      <c r="W566" s="18">
        <f t="shared" si="304"/>
        <v>0</v>
      </c>
      <c r="X566" s="18">
        <f t="shared" si="304"/>
        <v>0</v>
      </c>
      <c r="Y566" s="17"/>
      <c r="Z566" s="19"/>
      <c r="AA566" s="19"/>
      <c r="AB566" s="19"/>
      <c r="AC566" s="20"/>
    </row>
    <row r="567" spans="1:29" ht="59.25" customHeight="1" x14ac:dyDescent="0.25">
      <c r="A567" s="21" t="s">
        <v>1377</v>
      </c>
      <c r="B567" s="22" t="s">
        <v>1378</v>
      </c>
      <c r="C567" s="23"/>
      <c r="D567" s="23" t="s">
        <v>1213</v>
      </c>
      <c r="E567" s="24">
        <f>SUM(E568:E568)+218540</f>
        <v>218540</v>
      </c>
      <c r="F567" s="24">
        <f>SUM(F568:F568)+176881</f>
        <v>176881</v>
      </c>
      <c r="G567" s="24">
        <f>SUM(G568:G568)+41659</f>
        <v>41659</v>
      </c>
      <c r="H567" s="24">
        <f t="shared" ref="H567:N567" si="305">SUM(H568:H568)</f>
        <v>0</v>
      </c>
      <c r="I567" s="24">
        <f t="shared" si="305"/>
        <v>0</v>
      </c>
      <c r="J567" s="24">
        <f t="shared" si="305"/>
        <v>0</v>
      </c>
      <c r="K567" s="24">
        <f t="shared" si="305"/>
        <v>0</v>
      </c>
      <c r="L567" s="24">
        <f t="shared" si="305"/>
        <v>0</v>
      </c>
      <c r="M567" s="24">
        <f t="shared" si="305"/>
        <v>0</v>
      </c>
      <c r="N567" s="24">
        <f t="shared" si="305"/>
        <v>0</v>
      </c>
      <c r="O567" s="24">
        <f>SUM(O568:O568)+213764.18</f>
        <v>213764.18</v>
      </c>
      <c r="P567" s="24">
        <f>SUM(P568:P568)+176881</f>
        <v>176881</v>
      </c>
      <c r="Q567" s="24">
        <f>SUM(Q568:Q568)+36683.37</f>
        <v>36683.370000000003</v>
      </c>
      <c r="R567" s="24">
        <f t="shared" ref="R567:X567" si="306">SUM(R568:R568)</f>
        <v>0</v>
      </c>
      <c r="S567" s="24">
        <f t="shared" si="306"/>
        <v>0</v>
      </c>
      <c r="T567" s="24">
        <f t="shared" si="306"/>
        <v>0</v>
      </c>
      <c r="U567" s="24">
        <f t="shared" si="306"/>
        <v>0</v>
      </c>
      <c r="V567" s="24">
        <f t="shared" si="306"/>
        <v>0</v>
      </c>
      <c r="W567" s="24">
        <f t="shared" si="306"/>
        <v>0</v>
      </c>
      <c r="X567" s="24">
        <f t="shared" si="306"/>
        <v>0</v>
      </c>
      <c r="Y567" s="23" t="s">
        <v>1379</v>
      </c>
      <c r="Z567" s="25" t="s">
        <v>34</v>
      </c>
      <c r="AA567" s="25" t="s">
        <v>42</v>
      </c>
      <c r="AB567" s="25" t="s">
        <v>42</v>
      </c>
      <c r="AC567" s="26"/>
    </row>
    <row r="568" spans="1:29" ht="24" customHeight="1" x14ac:dyDescent="0.25">
      <c r="A568" s="21" t="s">
        <v>1380</v>
      </c>
      <c r="B568" s="22" t="s">
        <v>1381</v>
      </c>
      <c r="C568" s="23"/>
      <c r="D568" s="23" t="s">
        <v>1213</v>
      </c>
      <c r="E568" s="27">
        <v>0</v>
      </c>
      <c r="F568" s="27">
        <v>0</v>
      </c>
      <c r="G568" s="27">
        <v>0</v>
      </c>
      <c r="H568" s="27">
        <v>0</v>
      </c>
      <c r="I568" s="27">
        <v>0</v>
      </c>
      <c r="J568" s="27">
        <v>0</v>
      </c>
      <c r="K568" s="27">
        <v>0</v>
      </c>
      <c r="L568" s="27">
        <v>0</v>
      </c>
      <c r="M568" s="27">
        <v>0</v>
      </c>
      <c r="N568" s="27">
        <v>0</v>
      </c>
      <c r="O568" s="27">
        <v>0</v>
      </c>
      <c r="P568" s="27">
        <v>0</v>
      </c>
      <c r="Q568" s="27">
        <v>0</v>
      </c>
      <c r="R568" s="27">
        <v>0</v>
      </c>
      <c r="S568" s="27">
        <v>0</v>
      </c>
      <c r="T568" s="27">
        <v>0</v>
      </c>
      <c r="U568" s="27">
        <v>0</v>
      </c>
      <c r="V568" s="27">
        <v>0</v>
      </c>
      <c r="W568" s="27">
        <v>0</v>
      </c>
      <c r="X568" s="27">
        <v>0</v>
      </c>
      <c r="Y568" s="23"/>
      <c r="Z568" s="25"/>
      <c r="AA568" s="25"/>
      <c r="AB568" s="25"/>
      <c r="AC568" s="26"/>
    </row>
    <row r="569" spans="1:29" ht="57.75" customHeight="1" x14ac:dyDescent="0.25">
      <c r="A569" s="15" t="s">
        <v>1382</v>
      </c>
      <c r="B569" s="16" t="s">
        <v>1383</v>
      </c>
      <c r="C569" s="17"/>
      <c r="D569" s="17" t="s">
        <v>1213</v>
      </c>
      <c r="E569" s="18">
        <f t="shared" ref="E569:X569" si="307">E570+E572+E574+E576+E579</f>
        <v>2006488</v>
      </c>
      <c r="F569" s="18">
        <f t="shared" si="307"/>
        <v>1515538</v>
      </c>
      <c r="G569" s="18">
        <f t="shared" si="307"/>
        <v>0</v>
      </c>
      <c r="H569" s="18">
        <f t="shared" si="307"/>
        <v>0</v>
      </c>
      <c r="I569" s="18">
        <f t="shared" si="307"/>
        <v>490950</v>
      </c>
      <c r="J569" s="18">
        <f t="shared" si="307"/>
        <v>0</v>
      </c>
      <c r="K569" s="18">
        <f t="shared" si="307"/>
        <v>0</v>
      </c>
      <c r="L569" s="18">
        <f t="shared" si="307"/>
        <v>0</v>
      </c>
      <c r="M569" s="18">
        <f t="shared" si="307"/>
        <v>0</v>
      </c>
      <c r="N569" s="18">
        <f t="shared" si="307"/>
        <v>0</v>
      </c>
      <c r="O569" s="18">
        <f t="shared" si="307"/>
        <v>1730257.71</v>
      </c>
      <c r="P569" s="18">
        <f t="shared" si="307"/>
        <v>1511104.03</v>
      </c>
      <c r="Q569" s="18">
        <f t="shared" si="307"/>
        <v>0</v>
      </c>
      <c r="R569" s="18">
        <f t="shared" si="307"/>
        <v>0</v>
      </c>
      <c r="S569" s="18">
        <f t="shared" si="307"/>
        <v>219153.68</v>
      </c>
      <c r="T569" s="18">
        <f t="shared" si="307"/>
        <v>0</v>
      </c>
      <c r="U569" s="18">
        <f t="shared" si="307"/>
        <v>0</v>
      </c>
      <c r="V569" s="18">
        <f t="shared" si="307"/>
        <v>0</v>
      </c>
      <c r="W569" s="18">
        <f t="shared" si="307"/>
        <v>0</v>
      </c>
      <c r="X569" s="18">
        <f t="shared" si="307"/>
        <v>0</v>
      </c>
      <c r="Y569" s="17"/>
      <c r="Z569" s="19"/>
      <c r="AA569" s="19"/>
      <c r="AB569" s="19"/>
      <c r="AC569" s="20"/>
    </row>
    <row r="570" spans="1:29" ht="60.75" x14ac:dyDescent="0.25">
      <c r="A570" s="21" t="s">
        <v>1384</v>
      </c>
      <c r="B570" s="22" t="s">
        <v>1385</v>
      </c>
      <c r="C570" s="23"/>
      <c r="D570" s="23" t="s">
        <v>1213</v>
      </c>
      <c r="E570" s="24">
        <f>SUM(E571:E571)+1362188</f>
        <v>1362188</v>
      </c>
      <c r="F570" s="24">
        <f>SUM(F571:F571)+1360538</f>
        <v>1360538</v>
      </c>
      <c r="G570" s="24">
        <f>SUM(G571:G571)</f>
        <v>0</v>
      </c>
      <c r="H570" s="24">
        <f>SUM(H571:H571)</f>
        <v>0</v>
      </c>
      <c r="I570" s="24">
        <f>SUM(I571:I571)+1650</f>
        <v>1650</v>
      </c>
      <c r="J570" s="24">
        <f>SUM(J571:J571)</f>
        <v>0</v>
      </c>
      <c r="K570" s="24">
        <f>SUM(K571:K571)</f>
        <v>0</v>
      </c>
      <c r="L570" s="24">
        <f>SUM(L571:L571)</f>
        <v>0</v>
      </c>
      <c r="M570" s="24">
        <f>SUM(M571:M571)</f>
        <v>0</v>
      </c>
      <c r="N570" s="24">
        <f>SUM(N571:N571)</f>
        <v>0</v>
      </c>
      <c r="O570" s="24">
        <f>SUM(O571:O571)+1366977.18</f>
        <v>1366977.18</v>
      </c>
      <c r="P570" s="24">
        <f>SUM(P571:P571)+1366977.18</f>
        <v>1366977.18</v>
      </c>
      <c r="Q570" s="24">
        <f t="shared" ref="Q570:X570" si="308">SUM(Q571:Q571)</f>
        <v>0</v>
      </c>
      <c r="R570" s="24">
        <f t="shared" si="308"/>
        <v>0</v>
      </c>
      <c r="S570" s="24">
        <f t="shared" si="308"/>
        <v>0</v>
      </c>
      <c r="T570" s="24">
        <f t="shared" si="308"/>
        <v>0</v>
      </c>
      <c r="U570" s="24">
        <f t="shared" si="308"/>
        <v>0</v>
      </c>
      <c r="V570" s="24">
        <f t="shared" si="308"/>
        <v>0</v>
      </c>
      <c r="W570" s="24">
        <f t="shared" si="308"/>
        <v>0</v>
      </c>
      <c r="X570" s="24">
        <f t="shared" si="308"/>
        <v>0</v>
      </c>
      <c r="Y570" s="23" t="s">
        <v>1386</v>
      </c>
      <c r="Z570" s="25" t="s">
        <v>34</v>
      </c>
      <c r="AA570" s="25" t="s">
        <v>1387</v>
      </c>
      <c r="AB570" s="25" t="s">
        <v>1388</v>
      </c>
      <c r="AC570" s="26" t="s">
        <v>1389</v>
      </c>
    </row>
    <row r="571" spans="1:29" ht="55.5" customHeight="1" x14ac:dyDescent="0.25">
      <c r="A571" s="21" t="s">
        <v>1390</v>
      </c>
      <c r="B571" s="22" t="s">
        <v>1391</v>
      </c>
      <c r="C571" s="23"/>
      <c r="D571" s="23" t="s">
        <v>1213</v>
      </c>
      <c r="E571" s="27">
        <v>0</v>
      </c>
      <c r="F571" s="27">
        <v>0</v>
      </c>
      <c r="G571" s="27">
        <v>0</v>
      </c>
      <c r="H571" s="27">
        <v>0</v>
      </c>
      <c r="I571" s="27">
        <v>0</v>
      </c>
      <c r="J571" s="27">
        <v>0</v>
      </c>
      <c r="K571" s="27">
        <v>0</v>
      </c>
      <c r="L571" s="27">
        <v>0</v>
      </c>
      <c r="M571" s="27">
        <v>0</v>
      </c>
      <c r="N571" s="27">
        <v>0</v>
      </c>
      <c r="O571" s="27">
        <v>0</v>
      </c>
      <c r="P571" s="27">
        <v>0</v>
      </c>
      <c r="Q571" s="27">
        <v>0</v>
      </c>
      <c r="R571" s="27">
        <v>0</v>
      </c>
      <c r="S571" s="27">
        <v>0</v>
      </c>
      <c r="T571" s="27">
        <v>0</v>
      </c>
      <c r="U571" s="27">
        <v>0</v>
      </c>
      <c r="V571" s="27">
        <v>0</v>
      </c>
      <c r="W571" s="27">
        <v>0</v>
      </c>
      <c r="X571" s="27">
        <v>0</v>
      </c>
      <c r="Y571" s="23"/>
      <c r="Z571" s="25"/>
      <c r="AA571" s="25"/>
      <c r="AB571" s="25"/>
      <c r="AC571" s="26"/>
    </row>
    <row r="572" spans="1:29" ht="57.75" customHeight="1" x14ac:dyDescent="0.25">
      <c r="A572" s="21" t="s">
        <v>1392</v>
      </c>
      <c r="B572" s="22" t="s">
        <v>1393</v>
      </c>
      <c r="C572" s="23"/>
      <c r="D572" s="23" t="s">
        <v>1213</v>
      </c>
      <c r="E572" s="24">
        <f>SUM(E573:E573)+80000</f>
        <v>80000</v>
      </c>
      <c r="F572" s="24">
        <f>SUM(F573:F573)+80000</f>
        <v>80000</v>
      </c>
      <c r="G572" s="24">
        <f t="shared" ref="G572:N572" si="309">SUM(G573:G573)</f>
        <v>0</v>
      </c>
      <c r="H572" s="24">
        <f t="shared" si="309"/>
        <v>0</v>
      </c>
      <c r="I572" s="24">
        <f t="shared" si="309"/>
        <v>0</v>
      </c>
      <c r="J572" s="24">
        <f t="shared" si="309"/>
        <v>0</v>
      </c>
      <c r="K572" s="24">
        <f t="shared" si="309"/>
        <v>0</v>
      </c>
      <c r="L572" s="24">
        <f t="shared" si="309"/>
        <v>0</v>
      </c>
      <c r="M572" s="24">
        <f t="shared" si="309"/>
        <v>0</v>
      </c>
      <c r="N572" s="24">
        <f t="shared" si="309"/>
        <v>0</v>
      </c>
      <c r="O572" s="24">
        <f>SUM(O573:O573)+72032.85</f>
        <v>72032.850000000006</v>
      </c>
      <c r="P572" s="24">
        <f>SUM(P573:P573)+72032.85</f>
        <v>72032.850000000006</v>
      </c>
      <c r="Q572" s="24">
        <f t="shared" ref="Q572:X572" si="310">SUM(Q573:Q573)</f>
        <v>0</v>
      </c>
      <c r="R572" s="24">
        <f t="shared" si="310"/>
        <v>0</v>
      </c>
      <c r="S572" s="24">
        <f t="shared" si="310"/>
        <v>0</v>
      </c>
      <c r="T572" s="24">
        <f t="shared" si="310"/>
        <v>0</v>
      </c>
      <c r="U572" s="24">
        <f t="shared" si="310"/>
        <v>0</v>
      </c>
      <c r="V572" s="24">
        <f t="shared" si="310"/>
        <v>0</v>
      </c>
      <c r="W572" s="24">
        <f t="shared" si="310"/>
        <v>0</v>
      </c>
      <c r="X572" s="24">
        <f t="shared" si="310"/>
        <v>0</v>
      </c>
      <c r="Y572" s="23" t="s">
        <v>1394</v>
      </c>
      <c r="Z572" s="25" t="s">
        <v>34</v>
      </c>
      <c r="AA572" s="25" t="s">
        <v>1395</v>
      </c>
      <c r="AB572" s="25" t="s">
        <v>1396</v>
      </c>
      <c r="AC572" s="26" t="s">
        <v>1397</v>
      </c>
    </row>
    <row r="573" spans="1:29" ht="72" customHeight="1" x14ac:dyDescent="0.25">
      <c r="A573" s="21" t="s">
        <v>1398</v>
      </c>
      <c r="B573" s="22" t="s">
        <v>1399</v>
      </c>
      <c r="C573" s="23"/>
      <c r="D573" s="23" t="s">
        <v>1213</v>
      </c>
      <c r="E573" s="27">
        <v>0</v>
      </c>
      <c r="F573" s="27">
        <v>0</v>
      </c>
      <c r="G573" s="27">
        <v>0</v>
      </c>
      <c r="H573" s="27">
        <v>0</v>
      </c>
      <c r="I573" s="27">
        <v>0</v>
      </c>
      <c r="J573" s="27">
        <v>0</v>
      </c>
      <c r="K573" s="27">
        <v>0</v>
      </c>
      <c r="L573" s="27">
        <v>0</v>
      </c>
      <c r="M573" s="27">
        <v>0</v>
      </c>
      <c r="N573" s="27">
        <v>0</v>
      </c>
      <c r="O573" s="27">
        <v>0</v>
      </c>
      <c r="P573" s="27">
        <v>0</v>
      </c>
      <c r="Q573" s="27">
        <v>0</v>
      </c>
      <c r="R573" s="27">
        <v>0</v>
      </c>
      <c r="S573" s="27">
        <v>0</v>
      </c>
      <c r="T573" s="27">
        <v>0</v>
      </c>
      <c r="U573" s="27">
        <v>0</v>
      </c>
      <c r="V573" s="27">
        <v>0</v>
      </c>
      <c r="W573" s="27">
        <v>0</v>
      </c>
      <c r="X573" s="27">
        <v>0</v>
      </c>
      <c r="Y573" s="23"/>
      <c r="Z573" s="25"/>
      <c r="AA573" s="25"/>
      <c r="AB573" s="25"/>
      <c r="AC573" s="26"/>
    </row>
    <row r="574" spans="1:29" ht="59.25" customHeight="1" x14ac:dyDescent="0.25">
      <c r="A574" s="21" t="s">
        <v>1400</v>
      </c>
      <c r="B574" s="22" t="s">
        <v>1401</v>
      </c>
      <c r="C574" s="23"/>
      <c r="D574" s="23" t="s">
        <v>1213</v>
      </c>
      <c r="E574" s="24">
        <f>SUM(E575:E575)+75000</f>
        <v>75000</v>
      </c>
      <c r="F574" s="24">
        <f>SUM(F575:F575)+75000</f>
        <v>75000</v>
      </c>
      <c r="G574" s="24">
        <f t="shared" ref="G574:N574" si="311">SUM(G575:G575)</f>
        <v>0</v>
      </c>
      <c r="H574" s="24">
        <f t="shared" si="311"/>
        <v>0</v>
      </c>
      <c r="I574" s="24">
        <f t="shared" si="311"/>
        <v>0</v>
      </c>
      <c r="J574" s="24">
        <f t="shared" si="311"/>
        <v>0</v>
      </c>
      <c r="K574" s="24">
        <f t="shared" si="311"/>
        <v>0</v>
      </c>
      <c r="L574" s="24">
        <f t="shared" si="311"/>
        <v>0</v>
      </c>
      <c r="M574" s="24">
        <f t="shared" si="311"/>
        <v>0</v>
      </c>
      <c r="N574" s="24">
        <f t="shared" si="311"/>
        <v>0</v>
      </c>
      <c r="O574" s="24">
        <f>SUM(O575:O575)+72094</f>
        <v>72094</v>
      </c>
      <c r="P574" s="24">
        <f>SUM(P575:P575)+72094</f>
        <v>72094</v>
      </c>
      <c r="Q574" s="24">
        <f t="shared" ref="Q574:X574" si="312">SUM(Q575:Q575)</f>
        <v>0</v>
      </c>
      <c r="R574" s="24">
        <f t="shared" si="312"/>
        <v>0</v>
      </c>
      <c r="S574" s="24">
        <f t="shared" si="312"/>
        <v>0</v>
      </c>
      <c r="T574" s="24">
        <f t="shared" si="312"/>
        <v>0</v>
      </c>
      <c r="U574" s="24">
        <f t="shared" si="312"/>
        <v>0</v>
      </c>
      <c r="V574" s="24">
        <f t="shared" si="312"/>
        <v>0</v>
      </c>
      <c r="W574" s="24">
        <f t="shared" si="312"/>
        <v>0</v>
      </c>
      <c r="X574" s="24">
        <f t="shared" si="312"/>
        <v>0</v>
      </c>
      <c r="Y574" s="23" t="s">
        <v>1402</v>
      </c>
      <c r="Z574" s="25" t="s">
        <v>34</v>
      </c>
      <c r="AA574" s="25" t="s">
        <v>48</v>
      </c>
      <c r="AB574" s="25" t="s">
        <v>1403</v>
      </c>
      <c r="AC574" s="26" t="s">
        <v>1404</v>
      </c>
    </row>
    <row r="575" spans="1:29" ht="48" customHeight="1" x14ac:dyDescent="0.25">
      <c r="A575" s="21" t="s">
        <v>1405</v>
      </c>
      <c r="B575" s="22" t="s">
        <v>1406</v>
      </c>
      <c r="C575" s="23"/>
      <c r="D575" s="23" t="s">
        <v>1213</v>
      </c>
      <c r="E575" s="27">
        <v>0</v>
      </c>
      <c r="F575" s="27">
        <v>0</v>
      </c>
      <c r="G575" s="27">
        <v>0</v>
      </c>
      <c r="H575" s="27">
        <v>0</v>
      </c>
      <c r="I575" s="27">
        <v>0</v>
      </c>
      <c r="J575" s="27">
        <v>0</v>
      </c>
      <c r="K575" s="27">
        <v>0</v>
      </c>
      <c r="L575" s="27">
        <v>0</v>
      </c>
      <c r="M575" s="27">
        <v>0</v>
      </c>
      <c r="N575" s="27">
        <v>0</v>
      </c>
      <c r="O575" s="27">
        <v>0</v>
      </c>
      <c r="P575" s="27">
        <v>0</v>
      </c>
      <c r="Q575" s="27">
        <v>0</v>
      </c>
      <c r="R575" s="27">
        <v>0</v>
      </c>
      <c r="S575" s="27">
        <v>0</v>
      </c>
      <c r="T575" s="27">
        <v>0</v>
      </c>
      <c r="U575" s="27">
        <v>0</v>
      </c>
      <c r="V575" s="27">
        <v>0</v>
      </c>
      <c r="W575" s="27">
        <v>0</v>
      </c>
      <c r="X575" s="27">
        <v>0</v>
      </c>
      <c r="Y575" s="23"/>
      <c r="Z575" s="25"/>
      <c r="AA575" s="25"/>
      <c r="AB575" s="25"/>
      <c r="AC575" s="26"/>
    </row>
    <row r="576" spans="1:29" ht="51.75" customHeight="1" x14ac:dyDescent="0.25">
      <c r="A576" s="21" t="s">
        <v>1407</v>
      </c>
      <c r="B576" s="22" t="s">
        <v>1408</v>
      </c>
      <c r="C576" s="23"/>
      <c r="D576" s="23" t="s">
        <v>1213</v>
      </c>
      <c r="E576" s="24">
        <f>SUM(E577:E578)+309600</f>
        <v>309600</v>
      </c>
      <c r="F576" s="24">
        <f>SUM(F577:F578)</f>
        <v>0</v>
      </c>
      <c r="G576" s="24">
        <f>SUM(G577:G578)</f>
        <v>0</v>
      </c>
      <c r="H576" s="24">
        <f>SUM(H577:H578)</f>
        <v>0</v>
      </c>
      <c r="I576" s="24">
        <f>SUM(I577:I578)+309600</f>
        <v>309600</v>
      </c>
      <c r="J576" s="24">
        <f>SUM(J577:J578)</f>
        <v>0</v>
      </c>
      <c r="K576" s="24">
        <f>SUM(K577:K578)</f>
        <v>0</v>
      </c>
      <c r="L576" s="24">
        <f>SUM(L577:L578)</f>
        <v>0</v>
      </c>
      <c r="M576" s="24">
        <f>SUM(M577:M578)</f>
        <v>0</v>
      </c>
      <c r="N576" s="24">
        <f>SUM(N577:N578)</f>
        <v>0</v>
      </c>
      <c r="O576" s="24">
        <f>SUM(O577:O578)+73397.68</f>
        <v>73397.679999999993</v>
      </c>
      <c r="P576" s="24">
        <f>SUM(P577:P578)</f>
        <v>0</v>
      </c>
      <c r="Q576" s="24">
        <f>SUM(Q577:Q578)</f>
        <v>0</v>
      </c>
      <c r="R576" s="24">
        <f>SUM(R577:R578)</f>
        <v>0</v>
      </c>
      <c r="S576" s="24">
        <f>SUM(S577:S578)+73397.68</f>
        <v>73397.679999999993</v>
      </c>
      <c r="T576" s="24">
        <f>SUM(T577:T578)</f>
        <v>0</v>
      </c>
      <c r="U576" s="24">
        <f>SUM(U577:U578)</f>
        <v>0</v>
      </c>
      <c r="V576" s="24">
        <f>SUM(V577:V578)</f>
        <v>0</v>
      </c>
      <c r="W576" s="24">
        <f>SUM(W577:W578)</f>
        <v>0</v>
      </c>
      <c r="X576" s="24">
        <f>SUM(X577:X578)</f>
        <v>0</v>
      </c>
      <c r="Y576" s="23" t="s">
        <v>1409</v>
      </c>
      <c r="Z576" s="25" t="s">
        <v>34</v>
      </c>
      <c r="AA576" s="25" t="s">
        <v>1410</v>
      </c>
      <c r="AB576" s="25" t="s">
        <v>1411</v>
      </c>
      <c r="AC576" s="26" t="s">
        <v>1412</v>
      </c>
    </row>
    <row r="577" spans="1:29" ht="44.25" customHeight="1" x14ac:dyDescent="0.25">
      <c r="A577" s="28"/>
      <c r="B577" s="29"/>
      <c r="C577" s="30"/>
      <c r="D577" s="30"/>
      <c r="E577" s="31">
        <v>0</v>
      </c>
      <c r="F577" s="31">
        <v>0</v>
      </c>
      <c r="G577" s="31">
        <v>0</v>
      </c>
      <c r="H577" s="31">
        <v>0</v>
      </c>
      <c r="I577" s="31">
        <v>0</v>
      </c>
      <c r="J577" s="31">
        <v>0</v>
      </c>
      <c r="K577" s="31">
        <v>0</v>
      </c>
      <c r="L577" s="31">
        <v>0</v>
      </c>
      <c r="M577" s="31">
        <v>0</v>
      </c>
      <c r="N577" s="31">
        <v>0</v>
      </c>
      <c r="O577" s="31">
        <v>0</v>
      </c>
      <c r="P577" s="31">
        <v>0</v>
      </c>
      <c r="Q577" s="31">
        <v>0</v>
      </c>
      <c r="R577" s="31">
        <v>0</v>
      </c>
      <c r="S577" s="31">
        <v>0</v>
      </c>
      <c r="T577" s="31">
        <v>0</v>
      </c>
      <c r="U577" s="31">
        <v>0</v>
      </c>
      <c r="V577" s="31">
        <v>0</v>
      </c>
      <c r="W577" s="31">
        <v>0</v>
      </c>
      <c r="X577" s="31">
        <v>0</v>
      </c>
      <c r="Y577" s="30" t="s">
        <v>1413</v>
      </c>
      <c r="Z577" s="32" t="s">
        <v>34</v>
      </c>
      <c r="AA577" s="32" t="s">
        <v>1414</v>
      </c>
      <c r="AB577" s="32" t="s">
        <v>1415</v>
      </c>
      <c r="AC577" s="33" t="s">
        <v>1412</v>
      </c>
    </row>
    <row r="578" spans="1:29" ht="50.25" customHeight="1" x14ac:dyDescent="0.25">
      <c r="A578" s="21" t="s">
        <v>1416</v>
      </c>
      <c r="B578" s="22" t="s">
        <v>1417</v>
      </c>
      <c r="C578" s="23"/>
      <c r="D578" s="23" t="s">
        <v>1213</v>
      </c>
      <c r="E578" s="27">
        <v>0</v>
      </c>
      <c r="F578" s="27">
        <v>0</v>
      </c>
      <c r="G578" s="27">
        <v>0</v>
      </c>
      <c r="H578" s="27">
        <v>0</v>
      </c>
      <c r="I578" s="27">
        <v>0</v>
      </c>
      <c r="J578" s="27">
        <v>0</v>
      </c>
      <c r="K578" s="27">
        <v>0</v>
      </c>
      <c r="L578" s="27">
        <v>0</v>
      </c>
      <c r="M578" s="27">
        <v>0</v>
      </c>
      <c r="N578" s="27">
        <v>0</v>
      </c>
      <c r="O578" s="27">
        <v>0</v>
      </c>
      <c r="P578" s="27">
        <v>0</v>
      </c>
      <c r="Q578" s="27">
        <v>0</v>
      </c>
      <c r="R578" s="27">
        <v>0</v>
      </c>
      <c r="S578" s="27">
        <v>0</v>
      </c>
      <c r="T578" s="27">
        <v>0</v>
      </c>
      <c r="U578" s="27">
        <v>0</v>
      </c>
      <c r="V578" s="27">
        <v>0</v>
      </c>
      <c r="W578" s="27">
        <v>0</v>
      </c>
      <c r="X578" s="27">
        <v>0</v>
      </c>
      <c r="Y578" s="23"/>
      <c r="Z578" s="25"/>
      <c r="AA578" s="25"/>
      <c r="AB578" s="25"/>
      <c r="AC578" s="26"/>
    </row>
    <row r="579" spans="1:29" ht="70.5" customHeight="1" x14ac:dyDescent="0.25">
      <c r="A579" s="21" t="s">
        <v>1418</v>
      </c>
      <c r="B579" s="22" t="s">
        <v>1419</v>
      </c>
      <c r="C579" s="23"/>
      <c r="D579" s="23" t="s">
        <v>1213</v>
      </c>
      <c r="E579" s="24">
        <f>SUM(E580:E580)+179700</f>
        <v>179700</v>
      </c>
      <c r="F579" s="24">
        <f>SUM(F580:F580)</f>
        <v>0</v>
      </c>
      <c r="G579" s="24">
        <f>SUM(G580:G580)</f>
        <v>0</v>
      </c>
      <c r="H579" s="24">
        <f>SUM(H580:H580)</f>
        <v>0</v>
      </c>
      <c r="I579" s="24">
        <f>SUM(I580:I580)+179700</f>
        <v>179700</v>
      </c>
      <c r="J579" s="24">
        <f>SUM(J580:J580)</f>
        <v>0</v>
      </c>
      <c r="K579" s="24">
        <f>SUM(K580:K580)</f>
        <v>0</v>
      </c>
      <c r="L579" s="24">
        <f>SUM(L580:L580)</f>
        <v>0</v>
      </c>
      <c r="M579" s="24">
        <f>SUM(M580:M580)</f>
        <v>0</v>
      </c>
      <c r="N579" s="24">
        <f>SUM(N580:N580)</f>
        <v>0</v>
      </c>
      <c r="O579" s="24">
        <f>SUM(O580:O580)+145756</f>
        <v>145756</v>
      </c>
      <c r="P579" s="24">
        <f>SUM(P580:P580)</f>
        <v>0</v>
      </c>
      <c r="Q579" s="24">
        <f>SUM(Q580:Q580)</f>
        <v>0</v>
      </c>
      <c r="R579" s="24">
        <f>SUM(R580:R580)</f>
        <v>0</v>
      </c>
      <c r="S579" s="24">
        <f>SUM(S580:S580)+145756</f>
        <v>145756</v>
      </c>
      <c r="T579" s="24">
        <f>SUM(T580:T580)</f>
        <v>0</v>
      </c>
      <c r="U579" s="24">
        <f>SUM(U580:U580)</f>
        <v>0</v>
      </c>
      <c r="V579" s="24">
        <f>SUM(V580:V580)</f>
        <v>0</v>
      </c>
      <c r="W579" s="24">
        <f>SUM(W580:W580)</f>
        <v>0</v>
      </c>
      <c r="X579" s="24">
        <f>SUM(X580:X580)</f>
        <v>0</v>
      </c>
      <c r="Y579" s="23" t="s">
        <v>1420</v>
      </c>
      <c r="Z579" s="25" t="s">
        <v>34</v>
      </c>
      <c r="AA579" s="25" t="s">
        <v>1421</v>
      </c>
      <c r="AB579" s="25" t="s">
        <v>1422</v>
      </c>
      <c r="AC579" s="26" t="s">
        <v>1423</v>
      </c>
    </row>
    <row r="580" spans="1:29" ht="45" customHeight="1" x14ac:dyDescent="0.25">
      <c r="A580" s="21" t="s">
        <v>1424</v>
      </c>
      <c r="B580" s="22" t="s">
        <v>1425</v>
      </c>
      <c r="C580" s="23"/>
      <c r="D580" s="23" t="s">
        <v>1213</v>
      </c>
      <c r="E580" s="27">
        <v>0</v>
      </c>
      <c r="F580" s="27">
        <v>0</v>
      </c>
      <c r="G580" s="27">
        <v>0</v>
      </c>
      <c r="H580" s="27">
        <v>0</v>
      </c>
      <c r="I580" s="27">
        <v>0</v>
      </c>
      <c r="J580" s="27">
        <v>0</v>
      </c>
      <c r="K580" s="27">
        <v>0</v>
      </c>
      <c r="L580" s="27">
        <v>0</v>
      </c>
      <c r="M580" s="27">
        <v>0</v>
      </c>
      <c r="N580" s="27">
        <v>0</v>
      </c>
      <c r="O580" s="27">
        <v>0</v>
      </c>
      <c r="P580" s="27">
        <v>0</v>
      </c>
      <c r="Q580" s="27">
        <v>0</v>
      </c>
      <c r="R580" s="27">
        <v>0</v>
      </c>
      <c r="S580" s="27">
        <v>0</v>
      </c>
      <c r="T580" s="27">
        <v>0</v>
      </c>
      <c r="U580" s="27">
        <v>0</v>
      </c>
      <c r="V580" s="27">
        <v>0</v>
      </c>
      <c r="W580" s="27">
        <v>0</v>
      </c>
      <c r="X580" s="27">
        <v>0</v>
      </c>
      <c r="Y580" s="23"/>
      <c r="Z580" s="25"/>
      <c r="AA580" s="25"/>
      <c r="AB580" s="25"/>
      <c r="AC580" s="26"/>
    </row>
    <row r="581" spans="1:29" ht="46.5" customHeight="1" x14ac:dyDescent="0.25">
      <c r="A581" s="15" t="s">
        <v>1426</v>
      </c>
      <c r="B581" s="16" t="s">
        <v>1427</v>
      </c>
      <c r="C581" s="17"/>
      <c r="D581" s="17" t="s">
        <v>1213</v>
      </c>
      <c r="E581" s="18">
        <f t="shared" ref="E581:N582" si="313">SUM(E582:E582)</f>
        <v>0</v>
      </c>
      <c r="F581" s="18">
        <f t="shared" si="313"/>
        <v>0</v>
      </c>
      <c r="G581" s="18">
        <f t="shared" si="313"/>
        <v>0</v>
      </c>
      <c r="H581" s="18">
        <f t="shared" si="313"/>
        <v>0</v>
      </c>
      <c r="I581" s="18">
        <f t="shared" si="313"/>
        <v>0</v>
      </c>
      <c r="J581" s="18">
        <f t="shared" si="313"/>
        <v>0</v>
      </c>
      <c r="K581" s="18">
        <f t="shared" si="313"/>
        <v>0</v>
      </c>
      <c r="L581" s="18">
        <f t="shared" si="313"/>
        <v>0</v>
      </c>
      <c r="M581" s="18">
        <f t="shared" si="313"/>
        <v>0</v>
      </c>
      <c r="N581" s="18">
        <f t="shared" si="313"/>
        <v>0</v>
      </c>
      <c r="O581" s="18">
        <f t="shared" ref="O581:X582" si="314">SUM(O582:O582)</f>
        <v>0</v>
      </c>
      <c r="P581" s="18">
        <f t="shared" si="314"/>
        <v>0</v>
      </c>
      <c r="Q581" s="18">
        <f t="shared" si="314"/>
        <v>0</v>
      </c>
      <c r="R581" s="18">
        <f t="shared" si="314"/>
        <v>0</v>
      </c>
      <c r="S581" s="18">
        <f t="shared" si="314"/>
        <v>0</v>
      </c>
      <c r="T581" s="18">
        <f t="shared" si="314"/>
        <v>0</v>
      </c>
      <c r="U581" s="18">
        <f t="shared" si="314"/>
        <v>0</v>
      </c>
      <c r="V581" s="18">
        <f t="shared" si="314"/>
        <v>0</v>
      </c>
      <c r="W581" s="18">
        <f t="shared" si="314"/>
        <v>0</v>
      </c>
      <c r="X581" s="18">
        <f t="shared" si="314"/>
        <v>0</v>
      </c>
      <c r="Y581" s="17"/>
      <c r="Z581" s="19"/>
      <c r="AA581" s="19"/>
      <c r="AB581" s="19"/>
      <c r="AC581" s="20"/>
    </row>
    <row r="582" spans="1:29" ht="57.75" customHeight="1" x14ac:dyDescent="0.25">
      <c r="A582" s="21" t="s">
        <v>1428</v>
      </c>
      <c r="B582" s="22" t="s">
        <v>1429</v>
      </c>
      <c r="C582" s="23"/>
      <c r="D582" s="23" t="s">
        <v>1213</v>
      </c>
      <c r="E582" s="24">
        <f t="shared" si="313"/>
        <v>0</v>
      </c>
      <c r="F582" s="24">
        <f t="shared" si="313"/>
        <v>0</v>
      </c>
      <c r="G582" s="24">
        <f t="shared" si="313"/>
        <v>0</v>
      </c>
      <c r="H582" s="24">
        <f t="shared" si="313"/>
        <v>0</v>
      </c>
      <c r="I582" s="24">
        <f t="shared" si="313"/>
        <v>0</v>
      </c>
      <c r="J582" s="24">
        <f t="shared" si="313"/>
        <v>0</v>
      </c>
      <c r="K582" s="24">
        <f t="shared" si="313"/>
        <v>0</v>
      </c>
      <c r="L582" s="24">
        <f t="shared" si="313"/>
        <v>0</v>
      </c>
      <c r="M582" s="24">
        <f t="shared" si="313"/>
        <v>0</v>
      </c>
      <c r="N582" s="24">
        <f t="shared" si="313"/>
        <v>0</v>
      </c>
      <c r="O582" s="24">
        <f t="shared" si="314"/>
        <v>0</v>
      </c>
      <c r="P582" s="24">
        <f t="shared" si="314"/>
        <v>0</v>
      </c>
      <c r="Q582" s="24">
        <f t="shared" si="314"/>
        <v>0</v>
      </c>
      <c r="R582" s="24">
        <f t="shared" si="314"/>
        <v>0</v>
      </c>
      <c r="S582" s="24">
        <f t="shared" si="314"/>
        <v>0</v>
      </c>
      <c r="T582" s="24">
        <f t="shared" si="314"/>
        <v>0</v>
      </c>
      <c r="U582" s="24">
        <f t="shared" si="314"/>
        <v>0</v>
      </c>
      <c r="V582" s="24">
        <f t="shared" si="314"/>
        <v>0</v>
      </c>
      <c r="W582" s="24">
        <f t="shared" si="314"/>
        <v>0</v>
      </c>
      <c r="X582" s="24">
        <f t="shared" si="314"/>
        <v>0</v>
      </c>
      <c r="Y582" s="23" t="s">
        <v>1379</v>
      </c>
      <c r="Z582" s="25" t="s">
        <v>34</v>
      </c>
      <c r="AA582" s="25" t="s">
        <v>42</v>
      </c>
      <c r="AB582" s="25" t="s">
        <v>48</v>
      </c>
      <c r="AC582" s="26"/>
    </row>
    <row r="583" spans="1:29" ht="57.75" customHeight="1" x14ac:dyDescent="0.25">
      <c r="A583" s="21" t="s">
        <v>1430</v>
      </c>
      <c r="B583" s="22" t="s">
        <v>1431</v>
      </c>
      <c r="C583" s="23"/>
      <c r="D583" s="23" t="s">
        <v>1213</v>
      </c>
      <c r="E583" s="27">
        <v>0</v>
      </c>
      <c r="F583" s="27">
        <v>0</v>
      </c>
      <c r="G583" s="27">
        <v>0</v>
      </c>
      <c r="H583" s="27">
        <v>0</v>
      </c>
      <c r="I583" s="27">
        <v>0</v>
      </c>
      <c r="J583" s="27">
        <v>0</v>
      </c>
      <c r="K583" s="27">
        <v>0</v>
      </c>
      <c r="L583" s="27">
        <v>0</v>
      </c>
      <c r="M583" s="27">
        <v>0</v>
      </c>
      <c r="N583" s="27">
        <v>0</v>
      </c>
      <c r="O583" s="27">
        <v>0</v>
      </c>
      <c r="P583" s="27">
        <v>0</v>
      </c>
      <c r="Q583" s="27">
        <v>0</v>
      </c>
      <c r="R583" s="27">
        <v>0</v>
      </c>
      <c r="S583" s="27">
        <v>0</v>
      </c>
      <c r="T583" s="27">
        <v>0</v>
      </c>
      <c r="U583" s="27">
        <v>0</v>
      </c>
      <c r="V583" s="27">
        <v>0</v>
      </c>
      <c r="W583" s="27">
        <v>0</v>
      </c>
      <c r="X583" s="27">
        <v>0</v>
      </c>
      <c r="Y583" s="23"/>
      <c r="Z583" s="25"/>
      <c r="AA583" s="25"/>
      <c r="AB583" s="25"/>
      <c r="AC583" s="26"/>
    </row>
    <row r="584" spans="1:29" ht="50.25" customHeight="1" x14ac:dyDescent="0.25">
      <c r="A584" s="15" t="s">
        <v>1432</v>
      </c>
      <c r="B584" s="16" t="s">
        <v>1433</v>
      </c>
      <c r="C584" s="17"/>
      <c r="D584" s="17" t="s">
        <v>1213</v>
      </c>
      <c r="E584" s="18">
        <f t="shared" ref="E584:N585" si="315">SUM(E585:E585)</f>
        <v>0</v>
      </c>
      <c r="F584" s="18">
        <f t="shared" si="315"/>
        <v>0</v>
      </c>
      <c r="G584" s="18">
        <f t="shared" si="315"/>
        <v>0</v>
      </c>
      <c r="H584" s="18">
        <f t="shared" si="315"/>
        <v>0</v>
      </c>
      <c r="I584" s="18">
        <f t="shared" si="315"/>
        <v>0</v>
      </c>
      <c r="J584" s="18">
        <f t="shared" si="315"/>
        <v>0</v>
      </c>
      <c r="K584" s="18">
        <f t="shared" si="315"/>
        <v>0</v>
      </c>
      <c r="L584" s="18">
        <f t="shared" si="315"/>
        <v>0</v>
      </c>
      <c r="M584" s="18">
        <f t="shared" si="315"/>
        <v>0</v>
      </c>
      <c r="N584" s="18">
        <f t="shared" si="315"/>
        <v>0</v>
      </c>
      <c r="O584" s="18">
        <f t="shared" ref="O584:X585" si="316">SUM(O585:O585)</f>
        <v>0</v>
      </c>
      <c r="P584" s="18">
        <f t="shared" si="316"/>
        <v>0</v>
      </c>
      <c r="Q584" s="18">
        <f t="shared" si="316"/>
        <v>0</v>
      </c>
      <c r="R584" s="18">
        <f t="shared" si="316"/>
        <v>0</v>
      </c>
      <c r="S584" s="18">
        <f t="shared" si="316"/>
        <v>0</v>
      </c>
      <c r="T584" s="18">
        <f t="shared" si="316"/>
        <v>0</v>
      </c>
      <c r="U584" s="18">
        <f t="shared" si="316"/>
        <v>0</v>
      </c>
      <c r="V584" s="18">
        <f t="shared" si="316"/>
        <v>0</v>
      </c>
      <c r="W584" s="18">
        <f t="shared" si="316"/>
        <v>0</v>
      </c>
      <c r="X584" s="18">
        <f t="shared" si="316"/>
        <v>0</v>
      </c>
      <c r="Y584" s="17"/>
      <c r="Z584" s="19"/>
      <c r="AA584" s="19"/>
      <c r="AB584" s="19"/>
      <c r="AC584" s="20"/>
    </row>
    <row r="585" spans="1:29" ht="44.25" customHeight="1" x14ac:dyDescent="0.25">
      <c r="A585" s="21" t="s">
        <v>1434</v>
      </c>
      <c r="B585" s="22" t="s">
        <v>1435</v>
      </c>
      <c r="C585" s="23"/>
      <c r="D585" s="23" t="s">
        <v>1213</v>
      </c>
      <c r="E585" s="24">
        <f t="shared" si="315"/>
        <v>0</v>
      </c>
      <c r="F585" s="24">
        <f t="shared" si="315"/>
        <v>0</v>
      </c>
      <c r="G585" s="24">
        <f t="shared" si="315"/>
        <v>0</v>
      </c>
      <c r="H585" s="24">
        <f t="shared" si="315"/>
        <v>0</v>
      </c>
      <c r="I585" s="24">
        <f t="shared" si="315"/>
        <v>0</v>
      </c>
      <c r="J585" s="24">
        <f t="shared" si="315"/>
        <v>0</v>
      </c>
      <c r="K585" s="24">
        <f t="shared" si="315"/>
        <v>0</v>
      </c>
      <c r="L585" s="24">
        <f t="shared" si="315"/>
        <v>0</v>
      </c>
      <c r="M585" s="24">
        <f t="shared" si="315"/>
        <v>0</v>
      </c>
      <c r="N585" s="24">
        <f t="shared" si="315"/>
        <v>0</v>
      </c>
      <c r="O585" s="24">
        <f t="shared" si="316"/>
        <v>0</v>
      </c>
      <c r="P585" s="24">
        <f t="shared" si="316"/>
        <v>0</v>
      </c>
      <c r="Q585" s="24">
        <f t="shared" si="316"/>
        <v>0</v>
      </c>
      <c r="R585" s="24">
        <f t="shared" si="316"/>
        <v>0</v>
      </c>
      <c r="S585" s="24">
        <f t="shared" si="316"/>
        <v>0</v>
      </c>
      <c r="T585" s="24">
        <f t="shared" si="316"/>
        <v>0</v>
      </c>
      <c r="U585" s="24">
        <f t="shared" si="316"/>
        <v>0</v>
      </c>
      <c r="V585" s="24">
        <f t="shared" si="316"/>
        <v>0</v>
      </c>
      <c r="W585" s="24">
        <f t="shared" si="316"/>
        <v>0</v>
      </c>
      <c r="X585" s="24">
        <f t="shared" si="316"/>
        <v>0</v>
      </c>
      <c r="Y585" s="23" t="s">
        <v>1436</v>
      </c>
      <c r="Z585" s="25" t="s">
        <v>34</v>
      </c>
      <c r="AA585" s="25" t="s">
        <v>159</v>
      </c>
      <c r="AB585" s="25" t="s">
        <v>48</v>
      </c>
      <c r="AC585" s="26"/>
    </row>
    <row r="586" spans="1:29" ht="55.5" customHeight="1" x14ac:dyDescent="0.25">
      <c r="A586" s="21" t="s">
        <v>1437</v>
      </c>
      <c r="B586" s="22" t="s">
        <v>1438</v>
      </c>
      <c r="C586" s="23"/>
      <c r="D586" s="23" t="s">
        <v>1213</v>
      </c>
      <c r="E586" s="27">
        <v>0</v>
      </c>
      <c r="F586" s="27">
        <v>0</v>
      </c>
      <c r="G586" s="27">
        <v>0</v>
      </c>
      <c r="H586" s="27">
        <v>0</v>
      </c>
      <c r="I586" s="27">
        <v>0</v>
      </c>
      <c r="J586" s="27">
        <v>0</v>
      </c>
      <c r="K586" s="27">
        <v>0</v>
      </c>
      <c r="L586" s="27">
        <v>0</v>
      </c>
      <c r="M586" s="27">
        <v>0</v>
      </c>
      <c r="N586" s="27">
        <v>0</v>
      </c>
      <c r="O586" s="27">
        <v>0</v>
      </c>
      <c r="P586" s="27">
        <v>0</v>
      </c>
      <c r="Q586" s="27">
        <v>0</v>
      </c>
      <c r="R586" s="27">
        <v>0</v>
      </c>
      <c r="S586" s="27">
        <v>0</v>
      </c>
      <c r="T586" s="27">
        <v>0</v>
      </c>
      <c r="U586" s="27">
        <v>0</v>
      </c>
      <c r="V586" s="27">
        <v>0</v>
      </c>
      <c r="W586" s="27">
        <v>0</v>
      </c>
      <c r="X586" s="27">
        <v>0</v>
      </c>
      <c r="Y586" s="23"/>
      <c r="Z586" s="25"/>
      <c r="AA586" s="25"/>
      <c r="AB586" s="25"/>
      <c r="AC586" s="26"/>
    </row>
    <row r="587" spans="1:29" ht="48" customHeight="1" x14ac:dyDescent="0.25">
      <c r="A587" s="15" t="s">
        <v>1439</v>
      </c>
      <c r="B587" s="16" t="s">
        <v>1440</v>
      </c>
      <c r="C587" s="17"/>
      <c r="D587" s="17" t="s">
        <v>1213</v>
      </c>
      <c r="E587" s="18">
        <f t="shared" ref="E587:X587" si="317">E588+E590</f>
        <v>31373</v>
      </c>
      <c r="F587" s="18">
        <f t="shared" si="317"/>
        <v>24373</v>
      </c>
      <c r="G587" s="18">
        <f t="shared" si="317"/>
        <v>6000</v>
      </c>
      <c r="H587" s="18">
        <f t="shared" si="317"/>
        <v>0</v>
      </c>
      <c r="I587" s="18">
        <f t="shared" si="317"/>
        <v>1000</v>
      </c>
      <c r="J587" s="18">
        <f t="shared" si="317"/>
        <v>0</v>
      </c>
      <c r="K587" s="18">
        <f t="shared" si="317"/>
        <v>0</v>
      </c>
      <c r="L587" s="18">
        <f t="shared" si="317"/>
        <v>0</v>
      </c>
      <c r="M587" s="18">
        <f t="shared" si="317"/>
        <v>0</v>
      </c>
      <c r="N587" s="18">
        <f t="shared" si="317"/>
        <v>0</v>
      </c>
      <c r="O587" s="18">
        <f t="shared" si="317"/>
        <v>14113.3</v>
      </c>
      <c r="P587" s="18">
        <f t="shared" si="317"/>
        <v>14113.3</v>
      </c>
      <c r="Q587" s="18">
        <f t="shared" si="317"/>
        <v>0</v>
      </c>
      <c r="R587" s="18">
        <f t="shared" si="317"/>
        <v>0</v>
      </c>
      <c r="S587" s="18">
        <f t="shared" si="317"/>
        <v>0</v>
      </c>
      <c r="T587" s="18">
        <f t="shared" si="317"/>
        <v>0</v>
      </c>
      <c r="U587" s="18">
        <f t="shared" si="317"/>
        <v>0</v>
      </c>
      <c r="V587" s="18">
        <f t="shared" si="317"/>
        <v>0</v>
      </c>
      <c r="W587" s="18">
        <f t="shared" si="317"/>
        <v>0</v>
      </c>
      <c r="X587" s="18">
        <f t="shared" si="317"/>
        <v>0</v>
      </c>
      <c r="Y587" s="17"/>
      <c r="Z587" s="19"/>
      <c r="AA587" s="19"/>
      <c r="AB587" s="19"/>
      <c r="AC587" s="20"/>
    </row>
    <row r="588" spans="1:29" ht="50.25" customHeight="1" x14ac:dyDescent="0.25">
      <c r="A588" s="21" t="s">
        <v>1441</v>
      </c>
      <c r="B588" s="22" t="s">
        <v>1442</v>
      </c>
      <c r="C588" s="23"/>
      <c r="D588" s="23" t="s">
        <v>1213</v>
      </c>
      <c r="E588" s="24">
        <f>SUM(E589:E589)+23833</f>
        <v>23833</v>
      </c>
      <c r="F588" s="24">
        <f>SUM(F589:F589)+16833</f>
        <v>16833</v>
      </c>
      <c r="G588" s="24">
        <f>SUM(G589:G589)+6000</f>
        <v>6000</v>
      </c>
      <c r="H588" s="24">
        <f>SUM(H589:H589)</f>
        <v>0</v>
      </c>
      <c r="I588" s="24">
        <f>SUM(I589:I589)+1000</f>
        <v>1000</v>
      </c>
      <c r="J588" s="24">
        <f>SUM(J589:J589)</f>
        <v>0</v>
      </c>
      <c r="K588" s="24">
        <f>SUM(K589:K589)</f>
        <v>0</v>
      </c>
      <c r="L588" s="24">
        <f>SUM(L589:L589)</f>
        <v>0</v>
      </c>
      <c r="M588" s="24">
        <f>SUM(M589:M589)</f>
        <v>0</v>
      </c>
      <c r="N588" s="24">
        <f>SUM(N589:N589)</f>
        <v>0</v>
      </c>
      <c r="O588" s="24">
        <f>SUM(O589:O589)+14113.3</f>
        <v>14113.3</v>
      </c>
      <c r="P588" s="24">
        <f>SUM(P589:P589)+14113.3</f>
        <v>14113.3</v>
      </c>
      <c r="Q588" s="24">
        <f t="shared" ref="Q588:X588" si="318">SUM(Q589:Q589)</f>
        <v>0</v>
      </c>
      <c r="R588" s="24">
        <f t="shared" si="318"/>
        <v>0</v>
      </c>
      <c r="S588" s="24">
        <f t="shared" si="318"/>
        <v>0</v>
      </c>
      <c r="T588" s="24">
        <f t="shared" si="318"/>
        <v>0</v>
      </c>
      <c r="U588" s="24">
        <f t="shared" si="318"/>
        <v>0</v>
      </c>
      <c r="V588" s="24">
        <f t="shared" si="318"/>
        <v>0</v>
      </c>
      <c r="W588" s="24">
        <f t="shared" si="318"/>
        <v>0</v>
      </c>
      <c r="X588" s="24">
        <f t="shared" si="318"/>
        <v>0</v>
      </c>
      <c r="Y588" s="23" t="s">
        <v>1443</v>
      </c>
      <c r="Z588" s="25" t="s">
        <v>34</v>
      </c>
      <c r="AA588" s="25" t="s">
        <v>316</v>
      </c>
      <c r="AB588" s="25" t="s">
        <v>79</v>
      </c>
      <c r="AC588" s="26" t="s">
        <v>1444</v>
      </c>
    </row>
    <row r="589" spans="1:29" ht="70.5" customHeight="1" x14ac:dyDescent="0.25">
      <c r="A589" s="21" t="s">
        <v>1445</v>
      </c>
      <c r="B589" s="22" t="s">
        <v>1446</v>
      </c>
      <c r="C589" s="23"/>
      <c r="D589" s="23" t="s">
        <v>1213</v>
      </c>
      <c r="E589" s="27">
        <v>0</v>
      </c>
      <c r="F589" s="27">
        <v>0</v>
      </c>
      <c r="G589" s="27">
        <v>0</v>
      </c>
      <c r="H589" s="27">
        <v>0</v>
      </c>
      <c r="I589" s="27">
        <v>0</v>
      </c>
      <c r="J589" s="27">
        <v>0</v>
      </c>
      <c r="K589" s="27">
        <v>0</v>
      </c>
      <c r="L589" s="27">
        <v>0</v>
      </c>
      <c r="M589" s="27">
        <v>0</v>
      </c>
      <c r="N589" s="27">
        <v>0</v>
      </c>
      <c r="O589" s="27">
        <v>0</v>
      </c>
      <c r="P589" s="27">
        <v>0</v>
      </c>
      <c r="Q589" s="27">
        <v>0</v>
      </c>
      <c r="R589" s="27">
        <v>0</v>
      </c>
      <c r="S589" s="27">
        <v>0</v>
      </c>
      <c r="T589" s="27">
        <v>0</v>
      </c>
      <c r="U589" s="27">
        <v>0</v>
      </c>
      <c r="V589" s="27">
        <v>0</v>
      </c>
      <c r="W589" s="27">
        <v>0</v>
      </c>
      <c r="X589" s="27">
        <v>0</v>
      </c>
      <c r="Y589" s="23"/>
      <c r="Z589" s="25"/>
      <c r="AA589" s="25"/>
      <c r="AB589" s="25"/>
      <c r="AC589" s="26"/>
    </row>
    <row r="590" spans="1:29" x14ac:dyDescent="0.25">
      <c r="A590" s="21" t="s">
        <v>1447</v>
      </c>
      <c r="B590" s="22" t="s">
        <v>1448</v>
      </c>
      <c r="C590" s="23"/>
      <c r="D590" s="23" t="s">
        <v>1213</v>
      </c>
      <c r="E590" s="24">
        <f>SUM(E591:E591)+7540</f>
        <v>7540</v>
      </c>
      <c r="F590" s="24">
        <f>SUM(F591:F591)+7540</f>
        <v>7540</v>
      </c>
      <c r="G590" s="24">
        <f t="shared" ref="G590:X590" si="319">SUM(G591:G591)</f>
        <v>0</v>
      </c>
      <c r="H590" s="24">
        <f t="shared" si="319"/>
        <v>0</v>
      </c>
      <c r="I590" s="24">
        <f t="shared" si="319"/>
        <v>0</v>
      </c>
      <c r="J590" s="24">
        <f t="shared" si="319"/>
        <v>0</v>
      </c>
      <c r="K590" s="24">
        <f t="shared" si="319"/>
        <v>0</v>
      </c>
      <c r="L590" s="24">
        <f t="shared" si="319"/>
        <v>0</v>
      </c>
      <c r="M590" s="24">
        <f t="shared" si="319"/>
        <v>0</v>
      </c>
      <c r="N590" s="24">
        <f t="shared" si="319"/>
        <v>0</v>
      </c>
      <c r="O590" s="24">
        <f t="shared" si="319"/>
        <v>0</v>
      </c>
      <c r="P590" s="24">
        <f t="shared" si="319"/>
        <v>0</v>
      </c>
      <c r="Q590" s="24">
        <f t="shared" si="319"/>
        <v>0</v>
      </c>
      <c r="R590" s="24">
        <f t="shared" si="319"/>
        <v>0</v>
      </c>
      <c r="S590" s="24">
        <f t="shared" si="319"/>
        <v>0</v>
      </c>
      <c r="T590" s="24">
        <f t="shared" si="319"/>
        <v>0</v>
      </c>
      <c r="U590" s="24">
        <f t="shared" si="319"/>
        <v>0</v>
      </c>
      <c r="V590" s="24">
        <f t="shared" si="319"/>
        <v>0</v>
      </c>
      <c r="W590" s="24">
        <f t="shared" si="319"/>
        <v>0</v>
      </c>
      <c r="X590" s="24">
        <f t="shared" si="319"/>
        <v>0</v>
      </c>
      <c r="Y590" s="23" t="s">
        <v>1449</v>
      </c>
      <c r="Z590" s="25" t="s">
        <v>34</v>
      </c>
      <c r="AA590" s="25" t="s">
        <v>640</v>
      </c>
      <c r="AB590" s="25" t="s">
        <v>640</v>
      </c>
      <c r="AC590" s="26"/>
    </row>
    <row r="591" spans="1:29" ht="87" customHeight="1" x14ac:dyDescent="0.25">
      <c r="A591" s="21" t="s">
        <v>1450</v>
      </c>
      <c r="B591" s="22" t="s">
        <v>1451</v>
      </c>
      <c r="C591" s="23"/>
      <c r="D591" s="23" t="s">
        <v>1213</v>
      </c>
      <c r="E591" s="27">
        <v>0</v>
      </c>
      <c r="F591" s="27">
        <v>0</v>
      </c>
      <c r="G591" s="27">
        <v>0</v>
      </c>
      <c r="H591" s="27">
        <v>0</v>
      </c>
      <c r="I591" s="27">
        <v>0</v>
      </c>
      <c r="J591" s="27">
        <v>0</v>
      </c>
      <c r="K591" s="27">
        <v>0</v>
      </c>
      <c r="L591" s="27">
        <v>0</v>
      </c>
      <c r="M591" s="27">
        <v>0</v>
      </c>
      <c r="N591" s="27">
        <v>0</v>
      </c>
      <c r="O591" s="27">
        <v>0</v>
      </c>
      <c r="P591" s="27">
        <v>0</v>
      </c>
      <c r="Q591" s="27">
        <v>0</v>
      </c>
      <c r="R591" s="27">
        <v>0</v>
      </c>
      <c r="S591" s="27">
        <v>0</v>
      </c>
      <c r="T591" s="27">
        <v>0</v>
      </c>
      <c r="U591" s="27">
        <v>0</v>
      </c>
      <c r="V591" s="27">
        <v>0</v>
      </c>
      <c r="W591" s="27">
        <v>0</v>
      </c>
      <c r="X591" s="27">
        <v>0</v>
      </c>
      <c r="Y591" s="23"/>
      <c r="Z591" s="25"/>
      <c r="AA591" s="25"/>
      <c r="AB591" s="25"/>
      <c r="AC591" s="26"/>
    </row>
    <row r="592" spans="1:29" ht="65.25" customHeight="1" x14ac:dyDescent="0.25">
      <c r="A592" s="9" t="s">
        <v>1452</v>
      </c>
      <c r="B592" s="10" t="s">
        <v>1453</v>
      </c>
      <c r="C592" s="11"/>
      <c r="D592" s="11" t="s">
        <v>1454</v>
      </c>
      <c r="E592" s="12">
        <f t="shared" ref="E592:X592" si="320">E593+E596+E599+E602</f>
        <v>842000</v>
      </c>
      <c r="F592" s="12">
        <f t="shared" si="320"/>
        <v>28000</v>
      </c>
      <c r="G592" s="12">
        <f t="shared" si="320"/>
        <v>0</v>
      </c>
      <c r="H592" s="12">
        <f t="shared" si="320"/>
        <v>0</v>
      </c>
      <c r="I592" s="12">
        <f t="shared" si="320"/>
        <v>814000</v>
      </c>
      <c r="J592" s="12">
        <f t="shared" si="320"/>
        <v>0</v>
      </c>
      <c r="K592" s="12">
        <f t="shared" si="320"/>
        <v>0</v>
      </c>
      <c r="L592" s="12">
        <f t="shared" si="320"/>
        <v>0</v>
      </c>
      <c r="M592" s="12">
        <f t="shared" si="320"/>
        <v>0</v>
      </c>
      <c r="N592" s="12">
        <f t="shared" si="320"/>
        <v>0</v>
      </c>
      <c r="O592" s="12">
        <f t="shared" si="320"/>
        <v>842000</v>
      </c>
      <c r="P592" s="12">
        <f t="shared" si="320"/>
        <v>28000</v>
      </c>
      <c r="Q592" s="12">
        <f t="shared" si="320"/>
        <v>0</v>
      </c>
      <c r="R592" s="12">
        <f t="shared" si="320"/>
        <v>0</v>
      </c>
      <c r="S592" s="12">
        <f t="shared" si="320"/>
        <v>814000</v>
      </c>
      <c r="T592" s="12">
        <f t="shared" si="320"/>
        <v>0</v>
      </c>
      <c r="U592" s="12">
        <f t="shared" si="320"/>
        <v>0</v>
      </c>
      <c r="V592" s="12">
        <f t="shared" si="320"/>
        <v>0</v>
      </c>
      <c r="W592" s="12">
        <f t="shared" si="320"/>
        <v>0</v>
      </c>
      <c r="X592" s="12">
        <f t="shared" si="320"/>
        <v>0</v>
      </c>
      <c r="Y592" s="11"/>
      <c r="Z592" s="13"/>
      <c r="AA592" s="13"/>
      <c r="AB592" s="13"/>
      <c r="AC592" s="14"/>
    </row>
    <row r="593" spans="1:29" ht="57.75" customHeight="1" x14ac:dyDescent="0.25">
      <c r="A593" s="15" t="s">
        <v>1455</v>
      </c>
      <c r="B593" s="16" t="s">
        <v>1456</v>
      </c>
      <c r="C593" s="17"/>
      <c r="D593" s="17" t="s">
        <v>1454</v>
      </c>
      <c r="E593" s="18">
        <f t="shared" ref="E593:X593" si="321">SUM(E594:E594)</f>
        <v>803900</v>
      </c>
      <c r="F593" s="18">
        <f t="shared" si="321"/>
        <v>25000</v>
      </c>
      <c r="G593" s="18">
        <f t="shared" si="321"/>
        <v>0</v>
      </c>
      <c r="H593" s="18">
        <f t="shared" si="321"/>
        <v>0</v>
      </c>
      <c r="I593" s="18">
        <f t="shared" si="321"/>
        <v>778900</v>
      </c>
      <c r="J593" s="18">
        <f t="shared" si="321"/>
        <v>0</v>
      </c>
      <c r="K593" s="18">
        <f t="shared" si="321"/>
        <v>0</v>
      </c>
      <c r="L593" s="18">
        <f t="shared" si="321"/>
        <v>0</v>
      </c>
      <c r="M593" s="18">
        <f t="shared" si="321"/>
        <v>0</v>
      </c>
      <c r="N593" s="18">
        <f t="shared" si="321"/>
        <v>0</v>
      </c>
      <c r="O593" s="18">
        <f t="shared" si="321"/>
        <v>803900</v>
      </c>
      <c r="P593" s="18">
        <f t="shared" si="321"/>
        <v>25000</v>
      </c>
      <c r="Q593" s="18">
        <f t="shared" si="321"/>
        <v>0</v>
      </c>
      <c r="R593" s="18">
        <f t="shared" si="321"/>
        <v>0</v>
      </c>
      <c r="S593" s="18">
        <f t="shared" si="321"/>
        <v>778900</v>
      </c>
      <c r="T593" s="18">
        <f t="shared" si="321"/>
        <v>0</v>
      </c>
      <c r="U593" s="18">
        <f t="shared" si="321"/>
        <v>0</v>
      </c>
      <c r="V593" s="18">
        <f t="shared" si="321"/>
        <v>0</v>
      </c>
      <c r="W593" s="18">
        <f t="shared" si="321"/>
        <v>0</v>
      </c>
      <c r="X593" s="18">
        <f t="shared" si="321"/>
        <v>0</v>
      </c>
      <c r="Y593" s="17"/>
      <c r="Z593" s="19"/>
      <c r="AA593" s="19"/>
      <c r="AB593" s="19"/>
      <c r="AC593" s="20"/>
    </row>
    <row r="594" spans="1:29" ht="61.5" customHeight="1" x14ac:dyDescent="0.25">
      <c r="A594" s="21" t="s">
        <v>1457</v>
      </c>
      <c r="B594" s="22" t="s">
        <v>1458</v>
      </c>
      <c r="C594" s="23" t="s">
        <v>1459</v>
      </c>
      <c r="D594" s="23" t="s">
        <v>1454</v>
      </c>
      <c r="E594" s="24">
        <f>SUM(E595:E595)+803900</f>
        <v>803900</v>
      </c>
      <c r="F594" s="24">
        <f>SUM(F595:F595)+25000</f>
        <v>25000</v>
      </c>
      <c r="G594" s="24">
        <f>SUM(G595:G595)</f>
        <v>0</v>
      </c>
      <c r="H594" s="24">
        <f>SUM(H595:H595)</f>
        <v>0</v>
      </c>
      <c r="I594" s="24">
        <f>SUM(I595:I595)+778900</f>
        <v>778900</v>
      </c>
      <c r="J594" s="24">
        <f>SUM(J595:J595)</f>
        <v>0</v>
      </c>
      <c r="K594" s="24">
        <f>SUM(K595:K595)</f>
        <v>0</v>
      </c>
      <c r="L594" s="24">
        <f>SUM(L595:L595)</f>
        <v>0</v>
      </c>
      <c r="M594" s="24">
        <f>SUM(M595:M595)</f>
        <v>0</v>
      </c>
      <c r="N594" s="24">
        <f>SUM(N595:N595)</f>
        <v>0</v>
      </c>
      <c r="O594" s="24">
        <f>SUM(O595:O595)+803900</f>
        <v>803900</v>
      </c>
      <c r="P594" s="24">
        <f>SUM(P595:P595)+25000</f>
        <v>25000</v>
      </c>
      <c r="Q594" s="24">
        <f>SUM(Q595:Q595)</f>
        <v>0</v>
      </c>
      <c r="R594" s="24">
        <f>SUM(R595:R595)</f>
        <v>0</v>
      </c>
      <c r="S594" s="24">
        <f>SUM(S595:S595)+778900</f>
        <v>778900</v>
      </c>
      <c r="T594" s="24">
        <f>SUM(T595:T595)</f>
        <v>0</v>
      </c>
      <c r="U594" s="24">
        <f>SUM(U595:U595)</f>
        <v>0</v>
      </c>
      <c r="V594" s="24">
        <f>SUM(V595:V595)</f>
        <v>0</v>
      </c>
      <c r="W594" s="24">
        <f>SUM(W595:W595)</f>
        <v>0</v>
      </c>
      <c r="X594" s="24">
        <f>SUM(X595:X595)</f>
        <v>0</v>
      </c>
      <c r="Y594" s="23" t="s">
        <v>1460</v>
      </c>
      <c r="Z594" s="25" t="s">
        <v>34</v>
      </c>
      <c r="AA594" s="25" t="s">
        <v>42</v>
      </c>
      <c r="AB594" s="25" t="s">
        <v>42</v>
      </c>
      <c r="AC594" s="26"/>
    </row>
    <row r="595" spans="1:29" ht="27.75" customHeight="1" x14ac:dyDescent="0.25">
      <c r="A595" s="21" t="s">
        <v>1461</v>
      </c>
      <c r="B595" s="22" t="s">
        <v>1462</v>
      </c>
      <c r="C595" s="23"/>
      <c r="D595" s="23" t="s">
        <v>1213</v>
      </c>
      <c r="E595" s="27">
        <v>0</v>
      </c>
      <c r="F595" s="27">
        <v>0</v>
      </c>
      <c r="G595" s="27">
        <v>0</v>
      </c>
      <c r="H595" s="27">
        <v>0</v>
      </c>
      <c r="I595" s="27">
        <v>0</v>
      </c>
      <c r="J595" s="27">
        <v>0</v>
      </c>
      <c r="K595" s="27">
        <v>0</v>
      </c>
      <c r="L595" s="27">
        <v>0</v>
      </c>
      <c r="M595" s="27">
        <v>0</v>
      </c>
      <c r="N595" s="27">
        <v>0</v>
      </c>
      <c r="O595" s="27">
        <v>0</v>
      </c>
      <c r="P595" s="27">
        <v>0</v>
      </c>
      <c r="Q595" s="27">
        <v>0</v>
      </c>
      <c r="R595" s="27">
        <v>0</v>
      </c>
      <c r="S595" s="27">
        <v>0</v>
      </c>
      <c r="T595" s="27">
        <v>0</v>
      </c>
      <c r="U595" s="27">
        <v>0</v>
      </c>
      <c r="V595" s="27">
        <v>0</v>
      </c>
      <c r="W595" s="27">
        <v>0</v>
      </c>
      <c r="X595" s="27">
        <v>0</v>
      </c>
      <c r="Y595" s="23"/>
      <c r="Z595" s="25"/>
      <c r="AA595" s="25"/>
      <c r="AB595" s="25"/>
      <c r="AC595" s="26"/>
    </row>
    <row r="596" spans="1:29" ht="63" customHeight="1" x14ac:dyDescent="0.25">
      <c r="A596" s="15" t="s">
        <v>1463</v>
      </c>
      <c r="B596" s="16" t="s">
        <v>1464</v>
      </c>
      <c r="C596" s="17"/>
      <c r="D596" s="17" t="s">
        <v>1454</v>
      </c>
      <c r="E596" s="18">
        <f t="shared" ref="E596:X596" si="322">SUM(E597:E597)</f>
        <v>2000</v>
      </c>
      <c r="F596" s="18">
        <f t="shared" si="322"/>
        <v>2000</v>
      </c>
      <c r="G596" s="18">
        <f t="shared" si="322"/>
        <v>0</v>
      </c>
      <c r="H596" s="18">
        <f t="shared" si="322"/>
        <v>0</v>
      </c>
      <c r="I596" s="18">
        <f t="shared" si="322"/>
        <v>0</v>
      </c>
      <c r="J596" s="18">
        <f t="shared" si="322"/>
        <v>0</v>
      </c>
      <c r="K596" s="18">
        <f t="shared" si="322"/>
        <v>0</v>
      </c>
      <c r="L596" s="18">
        <f t="shared" si="322"/>
        <v>0</v>
      </c>
      <c r="M596" s="18">
        <f t="shared" si="322"/>
        <v>0</v>
      </c>
      <c r="N596" s="18">
        <f t="shared" si="322"/>
        <v>0</v>
      </c>
      <c r="O596" s="18">
        <f t="shared" si="322"/>
        <v>2000</v>
      </c>
      <c r="P596" s="18">
        <f t="shared" si="322"/>
        <v>2000</v>
      </c>
      <c r="Q596" s="18">
        <f t="shared" si="322"/>
        <v>0</v>
      </c>
      <c r="R596" s="18">
        <f t="shared" si="322"/>
        <v>0</v>
      </c>
      <c r="S596" s="18">
        <f t="shared" si="322"/>
        <v>0</v>
      </c>
      <c r="T596" s="18">
        <f t="shared" si="322"/>
        <v>0</v>
      </c>
      <c r="U596" s="18">
        <f t="shared" si="322"/>
        <v>0</v>
      </c>
      <c r="V596" s="18">
        <f t="shared" si="322"/>
        <v>0</v>
      </c>
      <c r="W596" s="18">
        <f t="shared" si="322"/>
        <v>0</v>
      </c>
      <c r="X596" s="18">
        <f t="shared" si="322"/>
        <v>0</v>
      </c>
      <c r="Y596" s="17"/>
      <c r="Z596" s="19"/>
      <c r="AA596" s="19"/>
      <c r="AB596" s="19"/>
      <c r="AC596" s="20"/>
    </row>
    <row r="597" spans="1:29" ht="48" customHeight="1" x14ac:dyDescent="0.25">
      <c r="A597" s="21" t="s">
        <v>1465</v>
      </c>
      <c r="B597" s="22" t="s">
        <v>1466</v>
      </c>
      <c r="C597" s="23" t="s">
        <v>1459</v>
      </c>
      <c r="D597" s="23" t="s">
        <v>1454</v>
      </c>
      <c r="E597" s="24">
        <f>SUM(E598:E598)+2000</f>
        <v>2000</v>
      </c>
      <c r="F597" s="24">
        <f>SUM(F598:F598)+2000</f>
        <v>2000</v>
      </c>
      <c r="G597" s="24">
        <f t="shared" ref="G597:N597" si="323">SUM(G598:G598)</f>
        <v>0</v>
      </c>
      <c r="H597" s="24">
        <f t="shared" si="323"/>
        <v>0</v>
      </c>
      <c r="I597" s="24">
        <f t="shared" si="323"/>
        <v>0</v>
      </c>
      <c r="J597" s="24">
        <f t="shared" si="323"/>
        <v>0</v>
      </c>
      <c r="K597" s="24">
        <f t="shared" si="323"/>
        <v>0</v>
      </c>
      <c r="L597" s="24">
        <f t="shared" si="323"/>
        <v>0</v>
      </c>
      <c r="M597" s="24">
        <f t="shared" si="323"/>
        <v>0</v>
      </c>
      <c r="N597" s="24">
        <f t="shared" si="323"/>
        <v>0</v>
      </c>
      <c r="O597" s="24">
        <f>SUM(O598:O598)+2000</f>
        <v>2000</v>
      </c>
      <c r="P597" s="24">
        <f>SUM(P598:P598)+2000</f>
        <v>2000</v>
      </c>
      <c r="Q597" s="24">
        <f t="shared" ref="Q597:X597" si="324">SUM(Q598:Q598)</f>
        <v>0</v>
      </c>
      <c r="R597" s="24">
        <f t="shared" si="324"/>
        <v>0</v>
      </c>
      <c r="S597" s="24">
        <f t="shared" si="324"/>
        <v>0</v>
      </c>
      <c r="T597" s="24">
        <f t="shared" si="324"/>
        <v>0</v>
      </c>
      <c r="U597" s="24">
        <f t="shared" si="324"/>
        <v>0</v>
      </c>
      <c r="V597" s="24">
        <f t="shared" si="324"/>
        <v>0</v>
      </c>
      <c r="W597" s="24">
        <f t="shared" si="324"/>
        <v>0</v>
      </c>
      <c r="X597" s="24">
        <f t="shared" si="324"/>
        <v>0</v>
      </c>
      <c r="Y597" s="23" t="s">
        <v>1467</v>
      </c>
      <c r="Z597" s="25" t="s">
        <v>34</v>
      </c>
      <c r="AA597" s="25" t="s">
        <v>108</v>
      </c>
      <c r="AB597" s="25" t="s">
        <v>80</v>
      </c>
      <c r="AC597" s="26" t="s">
        <v>1468</v>
      </c>
    </row>
    <row r="598" spans="1:29" ht="40.5" x14ac:dyDescent="0.25">
      <c r="A598" s="21" t="s">
        <v>1469</v>
      </c>
      <c r="B598" s="22" t="s">
        <v>1470</v>
      </c>
      <c r="C598" s="23"/>
      <c r="D598" s="23" t="s">
        <v>1454</v>
      </c>
      <c r="E598" s="27">
        <v>0</v>
      </c>
      <c r="F598" s="27">
        <v>0</v>
      </c>
      <c r="G598" s="27">
        <v>0</v>
      </c>
      <c r="H598" s="27">
        <v>0</v>
      </c>
      <c r="I598" s="27">
        <v>0</v>
      </c>
      <c r="J598" s="27">
        <v>0</v>
      </c>
      <c r="K598" s="27">
        <v>0</v>
      </c>
      <c r="L598" s="27">
        <v>0</v>
      </c>
      <c r="M598" s="27">
        <v>0</v>
      </c>
      <c r="N598" s="27">
        <v>0</v>
      </c>
      <c r="O598" s="27">
        <v>0</v>
      </c>
      <c r="P598" s="27">
        <v>0</v>
      </c>
      <c r="Q598" s="27">
        <v>0</v>
      </c>
      <c r="R598" s="27">
        <v>0</v>
      </c>
      <c r="S598" s="27">
        <v>0</v>
      </c>
      <c r="T598" s="27">
        <v>0</v>
      </c>
      <c r="U598" s="27">
        <v>0</v>
      </c>
      <c r="V598" s="27">
        <v>0</v>
      </c>
      <c r="W598" s="27">
        <v>0</v>
      </c>
      <c r="X598" s="27">
        <v>0</v>
      </c>
      <c r="Y598" s="23"/>
      <c r="Z598" s="25"/>
      <c r="AA598" s="25"/>
      <c r="AB598" s="25"/>
      <c r="AC598" s="26"/>
    </row>
    <row r="599" spans="1:29" ht="59.25" customHeight="1" x14ac:dyDescent="0.25">
      <c r="A599" s="15" t="s">
        <v>1471</v>
      </c>
      <c r="B599" s="16" t="s">
        <v>1472</v>
      </c>
      <c r="C599" s="17"/>
      <c r="D599" s="17" t="s">
        <v>1454</v>
      </c>
      <c r="E599" s="18">
        <f t="shared" ref="E599:X599" si="325">SUM(E600:E600)</f>
        <v>1000</v>
      </c>
      <c r="F599" s="18">
        <f t="shared" si="325"/>
        <v>1000</v>
      </c>
      <c r="G599" s="18">
        <f t="shared" si="325"/>
        <v>0</v>
      </c>
      <c r="H599" s="18">
        <f t="shared" si="325"/>
        <v>0</v>
      </c>
      <c r="I599" s="18">
        <f t="shared" si="325"/>
        <v>0</v>
      </c>
      <c r="J599" s="18">
        <f t="shared" si="325"/>
        <v>0</v>
      </c>
      <c r="K599" s="18">
        <f t="shared" si="325"/>
        <v>0</v>
      </c>
      <c r="L599" s="18">
        <f t="shared" si="325"/>
        <v>0</v>
      </c>
      <c r="M599" s="18">
        <f t="shared" si="325"/>
        <v>0</v>
      </c>
      <c r="N599" s="18">
        <f t="shared" si="325"/>
        <v>0</v>
      </c>
      <c r="O599" s="18">
        <f t="shared" si="325"/>
        <v>1000</v>
      </c>
      <c r="P599" s="18">
        <f t="shared" si="325"/>
        <v>1000</v>
      </c>
      <c r="Q599" s="18">
        <f t="shared" si="325"/>
        <v>0</v>
      </c>
      <c r="R599" s="18">
        <f t="shared" si="325"/>
        <v>0</v>
      </c>
      <c r="S599" s="18">
        <f t="shared" si="325"/>
        <v>0</v>
      </c>
      <c r="T599" s="18">
        <f t="shared" si="325"/>
        <v>0</v>
      </c>
      <c r="U599" s="18">
        <f t="shared" si="325"/>
        <v>0</v>
      </c>
      <c r="V599" s="18">
        <f t="shared" si="325"/>
        <v>0</v>
      </c>
      <c r="W599" s="18">
        <f t="shared" si="325"/>
        <v>0</v>
      </c>
      <c r="X599" s="18">
        <f t="shared" si="325"/>
        <v>0</v>
      </c>
      <c r="Y599" s="17"/>
      <c r="Z599" s="19"/>
      <c r="AA599" s="19"/>
      <c r="AB599" s="19"/>
      <c r="AC599" s="20"/>
    </row>
    <row r="600" spans="1:29" ht="74.25" customHeight="1" x14ac:dyDescent="0.25">
      <c r="A600" s="21" t="s">
        <v>1473</v>
      </c>
      <c r="B600" s="22" t="s">
        <v>1474</v>
      </c>
      <c r="C600" s="23" t="s">
        <v>1459</v>
      </c>
      <c r="D600" s="23" t="s">
        <v>1454</v>
      </c>
      <c r="E600" s="24">
        <f>SUM(E601:E601)+1000</f>
        <v>1000</v>
      </c>
      <c r="F600" s="24">
        <f>SUM(F601:F601)+1000</f>
        <v>1000</v>
      </c>
      <c r="G600" s="24">
        <f t="shared" ref="G600:N600" si="326">SUM(G601:G601)</f>
        <v>0</v>
      </c>
      <c r="H600" s="24">
        <f t="shared" si="326"/>
        <v>0</v>
      </c>
      <c r="I600" s="24">
        <f t="shared" si="326"/>
        <v>0</v>
      </c>
      <c r="J600" s="24">
        <f t="shared" si="326"/>
        <v>0</v>
      </c>
      <c r="K600" s="24">
        <f t="shared" si="326"/>
        <v>0</v>
      </c>
      <c r="L600" s="24">
        <f t="shared" si="326"/>
        <v>0</v>
      </c>
      <c r="M600" s="24">
        <f t="shared" si="326"/>
        <v>0</v>
      </c>
      <c r="N600" s="24">
        <f t="shared" si="326"/>
        <v>0</v>
      </c>
      <c r="O600" s="24">
        <f>SUM(O601:O601)+1000</f>
        <v>1000</v>
      </c>
      <c r="P600" s="24">
        <f>SUM(P601:P601)+1000</f>
        <v>1000</v>
      </c>
      <c r="Q600" s="24">
        <f t="shared" ref="Q600:X600" si="327">SUM(Q601:Q601)</f>
        <v>0</v>
      </c>
      <c r="R600" s="24">
        <f t="shared" si="327"/>
        <v>0</v>
      </c>
      <c r="S600" s="24">
        <f t="shared" si="327"/>
        <v>0</v>
      </c>
      <c r="T600" s="24">
        <f t="shared" si="327"/>
        <v>0</v>
      </c>
      <c r="U600" s="24">
        <f t="shared" si="327"/>
        <v>0</v>
      </c>
      <c r="V600" s="24">
        <f t="shared" si="327"/>
        <v>0</v>
      </c>
      <c r="W600" s="24">
        <f t="shared" si="327"/>
        <v>0</v>
      </c>
      <c r="X600" s="24">
        <f t="shared" si="327"/>
        <v>0</v>
      </c>
      <c r="Y600" s="23" t="s">
        <v>1475</v>
      </c>
      <c r="Z600" s="25" t="s">
        <v>34</v>
      </c>
      <c r="AA600" s="25" t="s">
        <v>79</v>
      </c>
      <c r="AB600" s="25" t="s">
        <v>1476</v>
      </c>
      <c r="AC600" s="26" t="s">
        <v>1477</v>
      </c>
    </row>
    <row r="601" spans="1:29" ht="44.25" customHeight="1" x14ac:dyDescent="0.25">
      <c r="A601" s="21" t="s">
        <v>1478</v>
      </c>
      <c r="B601" s="22" t="s">
        <v>1479</v>
      </c>
      <c r="C601" s="23"/>
      <c r="D601" s="23" t="s">
        <v>1454</v>
      </c>
      <c r="E601" s="27">
        <v>0</v>
      </c>
      <c r="F601" s="27">
        <v>0</v>
      </c>
      <c r="G601" s="27">
        <v>0</v>
      </c>
      <c r="H601" s="27">
        <v>0</v>
      </c>
      <c r="I601" s="27">
        <v>0</v>
      </c>
      <c r="J601" s="27">
        <v>0</v>
      </c>
      <c r="K601" s="27">
        <v>0</v>
      </c>
      <c r="L601" s="27">
        <v>0</v>
      </c>
      <c r="M601" s="27">
        <v>0</v>
      </c>
      <c r="N601" s="27">
        <v>0</v>
      </c>
      <c r="O601" s="27">
        <v>0</v>
      </c>
      <c r="P601" s="27">
        <v>0</v>
      </c>
      <c r="Q601" s="27">
        <v>0</v>
      </c>
      <c r="R601" s="27">
        <v>0</v>
      </c>
      <c r="S601" s="27">
        <v>0</v>
      </c>
      <c r="T601" s="27">
        <v>0</v>
      </c>
      <c r="U601" s="27">
        <v>0</v>
      </c>
      <c r="V601" s="27">
        <v>0</v>
      </c>
      <c r="W601" s="27">
        <v>0</v>
      </c>
      <c r="X601" s="27">
        <v>0</v>
      </c>
      <c r="Y601" s="23"/>
      <c r="Z601" s="25"/>
      <c r="AA601" s="25"/>
      <c r="AB601" s="25"/>
      <c r="AC601" s="26"/>
    </row>
    <row r="602" spans="1:29" ht="59.25" customHeight="1" x14ac:dyDescent="0.25">
      <c r="A602" s="15" t="s">
        <v>1480</v>
      </c>
      <c r="B602" s="16" t="s">
        <v>1481</v>
      </c>
      <c r="C602" s="17"/>
      <c r="D602" s="17" t="s">
        <v>1482</v>
      </c>
      <c r="E602" s="18">
        <f t="shared" ref="E602:X602" si="328">SUM(E603:E603)</f>
        <v>35100</v>
      </c>
      <c r="F602" s="18">
        <f t="shared" si="328"/>
        <v>0</v>
      </c>
      <c r="G602" s="18">
        <f t="shared" si="328"/>
        <v>0</v>
      </c>
      <c r="H602" s="18">
        <f t="shared" si="328"/>
        <v>0</v>
      </c>
      <c r="I602" s="18">
        <f t="shared" si="328"/>
        <v>35100</v>
      </c>
      <c r="J602" s="18">
        <f t="shared" si="328"/>
        <v>0</v>
      </c>
      <c r="K602" s="18">
        <f t="shared" si="328"/>
        <v>0</v>
      </c>
      <c r="L602" s="18">
        <f t="shared" si="328"/>
        <v>0</v>
      </c>
      <c r="M602" s="18">
        <f t="shared" si="328"/>
        <v>0</v>
      </c>
      <c r="N602" s="18">
        <f t="shared" si="328"/>
        <v>0</v>
      </c>
      <c r="O602" s="18">
        <f t="shared" si="328"/>
        <v>35100</v>
      </c>
      <c r="P602" s="18">
        <f t="shared" si="328"/>
        <v>0</v>
      </c>
      <c r="Q602" s="18">
        <f t="shared" si="328"/>
        <v>0</v>
      </c>
      <c r="R602" s="18">
        <f t="shared" si="328"/>
        <v>0</v>
      </c>
      <c r="S602" s="18">
        <f t="shared" si="328"/>
        <v>35100</v>
      </c>
      <c r="T602" s="18">
        <f t="shared" si="328"/>
        <v>0</v>
      </c>
      <c r="U602" s="18">
        <f t="shared" si="328"/>
        <v>0</v>
      </c>
      <c r="V602" s="18">
        <f t="shared" si="328"/>
        <v>0</v>
      </c>
      <c r="W602" s="18">
        <f t="shared" si="328"/>
        <v>0</v>
      </c>
      <c r="X602" s="18">
        <f t="shared" si="328"/>
        <v>0</v>
      </c>
      <c r="Y602" s="17"/>
      <c r="Z602" s="19"/>
      <c r="AA602" s="19"/>
      <c r="AB602" s="19"/>
      <c r="AC602" s="20"/>
    </row>
    <row r="603" spans="1:29" ht="55.5" customHeight="1" x14ac:dyDescent="0.25">
      <c r="A603" s="21" t="s">
        <v>1483</v>
      </c>
      <c r="B603" s="22" t="s">
        <v>1484</v>
      </c>
      <c r="C603" s="23"/>
      <c r="D603" s="23" t="s">
        <v>1482</v>
      </c>
      <c r="E603" s="24">
        <f>SUM(E604:E604)+35100</f>
        <v>35100</v>
      </c>
      <c r="F603" s="24">
        <f>SUM(F604:F604)</f>
        <v>0</v>
      </c>
      <c r="G603" s="24">
        <f>SUM(G604:G604)</f>
        <v>0</v>
      </c>
      <c r="H603" s="24">
        <f>SUM(H604:H604)</f>
        <v>0</v>
      </c>
      <c r="I603" s="24">
        <f>SUM(I604:I604)+35100</f>
        <v>35100</v>
      </c>
      <c r="J603" s="24">
        <f>SUM(J604:J604)</f>
        <v>0</v>
      </c>
      <c r="K603" s="24">
        <f>SUM(K604:K604)</f>
        <v>0</v>
      </c>
      <c r="L603" s="24">
        <f>SUM(L604:L604)</f>
        <v>0</v>
      </c>
      <c r="M603" s="24">
        <f>SUM(M604:M604)</f>
        <v>0</v>
      </c>
      <c r="N603" s="24">
        <f>SUM(N604:N604)</f>
        <v>0</v>
      </c>
      <c r="O603" s="24">
        <f>SUM(O604:O604)+35100</f>
        <v>35100</v>
      </c>
      <c r="P603" s="24">
        <f>SUM(P604:P604)</f>
        <v>0</v>
      </c>
      <c r="Q603" s="24">
        <f>SUM(Q604:Q604)</f>
        <v>0</v>
      </c>
      <c r="R603" s="24">
        <f>SUM(R604:R604)</f>
        <v>0</v>
      </c>
      <c r="S603" s="24">
        <f>SUM(S604:S604)+35100</f>
        <v>35100</v>
      </c>
      <c r="T603" s="24">
        <f>SUM(T604:T604)</f>
        <v>0</v>
      </c>
      <c r="U603" s="24">
        <f>SUM(U604:U604)</f>
        <v>0</v>
      </c>
      <c r="V603" s="24">
        <f>SUM(V604:V604)</f>
        <v>0</v>
      </c>
      <c r="W603" s="24">
        <f>SUM(W604:W604)</f>
        <v>0</v>
      </c>
      <c r="X603" s="24">
        <f>SUM(X604:X604)</f>
        <v>0</v>
      </c>
      <c r="Y603" s="23" t="s">
        <v>1485</v>
      </c>
      <c r="Z603" s="25" t="s">
        <v>34</v>
      </c>
      <c r="AA603" s="25" t="s">
        <v>42</v>
      </c>
      <c r="AB603" s="25" t="s">
        <v>42</v>
      </c>
      <c r="AC603" s="26"/>
    </row>
    <row r="604" spans="1:29" ht="59.25" customHeight="1" x14ac:dyDescent="0.25">
      <c r="A604" s="21" t="s">
        <v>1486</v>
      </c>
      <c r="B604" s="22" t="s">
        <v>1487</v>
      </c>
      <c r="C604" s="23"/>
      <c r="D604" s="23" t="s">
        <v>1482</v>
      </c>
      <c r="E604" s="27">
        <v>0</v>
      </c>
      <c r="F604" s="27">
        <v>0</v>
      </c>
      <c r="G604" s="27">
        <v>0</v>
      </c>
      <c r="H604" s="27">
        <v>0</v>
      </c>
      <c r="I604" s="27">
        <v>0</v>
      </c>
      <c r="J604" s="27">
        <v>0</v>
      </c>
      <c r="K604" s="27">
        <v>0</v>
      </c>
      <c r="L604" s="27">
        <v>0</v>
      </c>
      <c r="M604" s="27">
        <v>0</v>
      </c>
      <c r="N604" s="27">
        <v>0</v>
      </c>
      <c r="O604" s="27">
        <v>0</v>
      </c>
      <c r="P604" s="27">
        <v>0</v>
      </c>
      <c r="Q604" s="27">
        <v>0</v>
      </c>
      <c r="R604" s="27">
        <v>0</v>
      </c>
      <c r="S604" s="27">
        <v>0</v>
      </c>
      <c r="T604" s="27">
        <v>0</v>
      </c>
      <c r="U604" s="27">
        <v>0</v>
      </c>
      <c r="V604" s="27">
        <v>0</v>
      </c>
      <c r="W604" s="27">
        <v>0</v>
      </c>
      <c r="X604" s="27">
        <v>0</v>
      </c>
      <c r="Y604" s="23"/>
      <c r="Z604" s="25"/>
      <c r="AA604" s="25"/>
      <c r="AB604" s="25"/>
      <c r="AC604" s="26"/>
    </row>
    <row r="605" spans="1:29" ht="72" customHeight="1" x14ac:dyDescent="0.25">
      <c r="A605" s="9" t="s">
        <v>1488</v>
      </c>
      <c r="B605" s="10" t="s">
        <v>479</v>
      </c>
      <c r="C605" s="11"/>
      <c r="D605" s="11" t="s">
        <v>1482</v>
      </c>
      <c r="E605" s="12">
        <f t="shared" ref="E605:N606" si="329">SUM(E606:E606)</f>
        <v>1020</v>
      </c>
      <c r="F605" s="12">
        <f t="shared" si="329"/>
        <v>1020</v>
      </c>
      <c r="G605" s="12">
        <f t="shared" si="329"/>
        <v>0</v>
      </c>
      <c r="H605" s="12">
        <f t="shared" si="329"/>
        <v>0</v>
      </c>
      <c r="I605" s="12">
        <f t="shared" si="329"/>
        <v>0</v>
      </c>
      <c r="J605" s="12">
        <f t="shared" si="329"/>
        <v>0</v>
      </c>
      <c r="K605" s="12">
        <f t="shared" si="329"/>
        <v>0</v>
      </c>
      <c r="L605" s="12">
        <f t="shared" si="329"/>
        <v>0</v>
      </c>
      <c r="M605" s="12">
        <f t="shared" si="329"/>
        <v>0</v>
      </c>
      <c r="N605" s="12">
        <f t="shared" si="329"/>
        <v>0</v>
      </c>
      <c r="O605" s="12">
        <f t="shared" ref="O605:X606" si="330">SUM(O606:O606)</f>
        <v>1020</v>
      </c>
      <c r="P605" s="12">
        <f t="shared" si="330"/>
        <v>1020</v>
      </c>
      <c r="Q605" s="12">
        <f t="shared" si="330"/>
        <v>0</v>
      </c>
      <c r="R605" s="12">
        <f t="shared" si="330"/>
        <v>0</v>
      </c>
      <c r="S605" s="12">
        <f t="shared" si="330"/>
        <v>0</v>
      </c>
      <c r="T605" s="12">
        <f t="shared" si="330"/>
        <v>0</v>
      </c>
      <c r="U605" s="12">
        <f t="shared" si="330"/>
        <v>0</v>
      </c>
      <c r="V605" s="12">
        <f t="shared" si="330"/>
        <v>0</v>
      </c>
      <c r="W605" s="12">
        <f t="shared" si="330"/>
        <v>0</v>
      </c>
      <c r="X605" s="12">
        <f t="shared" si="330"/>
        <v>0</v>
      </c>
      <c r="Y605" s="11"/>
      <c r="Z605" s="13"/>
      <c r="AA605" s="13"/>
      <c r="AB605" s="13"/>
      <c r="AC605" s="14"/>
    </row>
    <row r="606" spans="1:29" ht="59.25" customHeight="1" x14ac:dyDescent="0.25">
      <c r="A606" s="15" t="s">
        <v>1489</v>
      </c>
      <c r="B606" s="16" t="s">
        <v>1490</v>
      </c>
      <c r="C606" s="17"/>
      <c r="D606" s="17" t="s">
        <v>1482</v>
      </c>
      <c r="E606" s="18">
        <f t="shared" si="329"/>
        <v>1020</v>
      </c>
      <c r="F606" s="18">
        <f t="shared" si="329"/>
        <v>1020</v>
      </c>
      <c r="G606" s="18">
        <f t="shared" si="329"/>
        <v>0</v>
      </c>
      <c r="H606" s="18">
        <f t="shared" si="329"/>
        <v>0</v>
      </c>
      <c r="I606" s="18">
        <f t="shared" si="329"/>
        <v>0</v>
      </c>
      <c r="J606" s="18">
        <f t="shared" si="329"/>
        <v>0</v>
      </c>
      <c r="K606" s="18">
        <f t="shared" si="329"/>
        <v>0</v>
      </c>
      <c r="L606" s="18">
        <f t="shared" si="329"/>
        <v>0</v>
      </c>
      <c r="M606" s="18">
        <f t="shared" si="329"/>
        <v>0</v>
      </c>
      <c r="N606" s="18">
        <f t="shared" si="329"/>
        <v>0</v>
      </c>
      <c r="O606" s="18">
        <f t="shared" si="330"/>
        <v>1020</v>
      </c>
      <c r="P606" s="18">
        <f t="shared" si="330"/>
        <v>1020</v>
      </c>
      <c r="Q606" s="18">
        <f t="shared" si="330"/>
        <v>0</v>
      </c>
      <c r="R606" s="18">
        <f t="shared" si="330"/>
        <v>0</v>
      </c>
      <c r="S606" s="18">
        <f t="shared" si="330"/>
        <v>0</v>
      </c>
      <c r="T606" s="18">
        <f t="shared" si="330"/>
        <v>0</v>
      </c>
      <c r="U606" s="18">
        <f t="shared" si="330"/>
        <v>0</v>
      </c>
      <c r="V606" s="18">
        <f t="shared" si="330"/>
        <v>0</v>
      </c>
      <c r="W606" s="18">
        <f t="shared" si="330"/>
        <v>0</v>
      </c>
      <c r="X606" s="18">
        <f t="shared" si="330"/>
        <v>0</v>
      </c>
      <c r="Y606" s="17"/>
      <c r="Z606" s="19"/>
      <c r="AA606" s="19"/>
      <c r="AB606" s="19"/>
      <c r="AC606" s="20"/>
    </row>
    <row r="607" spans="1:29" ht="61.5" customHeight="1" x14ac:dyDescent="0.25">
      <c r="A607" s="21" t="s">
        <v>1491</v>
      </c>
      <c r="B607" s="22" t="s">
        <v>1492</v>
      </c>
      <c r="C607" s="23"/>
      <c r="D607" s="23" t="s">
        <v>1482</v>
      </c>
      <c r="E607" s="24">
        <f>SUM(E608:E608)+1020</f>
        <v>1020</v>
      </c>
      <c r="F607" s="24">
        <f>SUM(F608:F608)+1020</f>
        <v>1020</v>
      </c>
      <c r="G607" s="24">
        <f t="shared" ref="G607:N607" si="331">SUM(G608:G608)</f>
        <v>0</v>
      </c>
      <c r="H607" s="24">
        <f t="shared" si="331"/>
        <v>0</v>
      </c>
      <c r="I607" s="24">
        <f t="shared" si="331"/>
        <v>0</v>
      </c>
      <c r="J607" s="24">
        <f t="shared" si="331"/>
        <v>0</v>
      </c>
      <c r="K607" s="24">
        <f t="shared" si="331"/>
        <v>0</v>
      </c>
      <c r="L607" s="24">
        <f t="shared" si="331"/>
        <v>0</v>
      </c>
      <c r="M607" s="24">
        <f t="shared" si="331"/>
        <v>0</v>
      </c>
      <c r="N607" s="24">
        <f t="shared" si="331"/>
        <v>0</v>
      </c>
      <c r="O607" s="24">
        <f>SUM(O608:O608)+1020</f>
        <v>1020</v>
      </c>
      <c r="P607" s="24">
        <f>SUM(P608:P608)+1020</f>
        <v>1020</v>
      </c>
      <c r="Q607" s="24">
        <f t="shared" ref="Q607:X607" si="332">SUM(Q608:Q608)</f>
        <v>0</v>
      </c>
      <c r="R607" s="24">
        <f t="shared" si="332"/>
        <v>0</v>
      </c>
      <c r="S607" s="24">
        <f t="shared" si="332"/>
        <v>0</v>
      </c>
      <c r="T607" s="24">
        <f t="shared" si="332"/>
        <v>0</v>
      </c>
      <c r="U607" s="24">
        <f t="shared" si="332"/>
        <v>0</v>
      </c>
      <c r="V607" s="24">
        <f t="shared" si="332"/>
        <v>0</v>
      </c>
      <c r="W607" s="24">
        <f t="shared" si="332"/>
        <v>0</v>
      </c>
      <c r="X607" s="24">
        <f t="shared" si="332"/>
        <v>0</v>
      </c>
      <c r="Y607" s="23" t="s">
        <v>1493</v>
      </c>
      <c r="Z607" s="25" t="s">
        <v>34</v>
      </c>
      <c r="AA607" s="25" t="s">
        <v>42</v>
      </c>
      <c r="AB607" s="25" t="s">
        <v>42</v>
      </c>
      <c r="AC607" s="26"/>
    </row>
    <row r="608" spans="1:29" ht="78" customHeight="1" x14ac:dyDescent="0.25">
      <c r="A608" s="21" t="s">
        <v>1494</v>
      </c>
      <c r="B608" s="22" t="s">
        <v>1495</v>
      </c>
      <c r="C608" s="23"/>
      <c r="D608" s="23" t="s">
        <v>1482</v>
      </c>
      <c r="E608" s="27">
        <v>0</v>
      </c>
      <c r="F608" s="27">
        <v>0</v>
      </c>
      <c r="G608" s="27">
        <v>0</v>
      </c>
      <c r="H608" s="27">
        <v>0</v>
      </c>
      <c r="I608" s="27">
        <v>0</v>
      </c>
      <c r="J608" s="27">
        <v>0</v>
      </c>
      <c r="K608" s="27">
        <v>0</v>
      </c>
      <c r="L608" s="27">
        <v>0</v>
      </c>
      <c r="M608" s="27">
        <v>0</v>
      </c>
      <c r="N608" s="27">
        <v>0</v>
      </c>
      <c r="O608" s="27">
        <v>0</v>
      </c>
      <c r="P608" s="27">
        <v>0</v>
      </c>
      <c r="Q608" s="27">
        <v>0</v>
      </c>
      <c r="R608" s="27">
        <v>0</v>
      </c>
      <c r="S608" s="27">
        <v>0</v>
      </c>
      <c r="T608" s="27">
        <v>0</v>
      </c>
      <c r="U608" s="27">
        <v>0</v>
      </c>
      <c r="V608" s="27">
        <v>0</v>
      </c>
      <c r="W608" s="27">
        <v>0</v>
      </c>
      <c r="X608" s="27">
        <v>0</v>
      </c>
      <c r="Y608" s="23"/>
      <c r="Z608" s="25"/>
      <c r="AA608" s="25"/>
      <c r="AB608" s="25"/>
      <c r="AC608" s="26"/>
    </row>
    <row r="609" spans="1:29" ht="51.75" customHeight="1" x14ac:dyDescent="0.25">
      <c r="A609" s="9" t="s">
        <v>1496</v>
      </c>
      <c r="B609" s="10" t="s">
        <v>1497</v>
      </c>
      <c r="C609" s="11"/>
      <c r="D609" s="11" t="s">
        <v>1482</v>
      </c>
      <c r="E609" s="12">
        <f t="shared" ref="E609:N610" si="333">SUM(E610:E610)</f>
        <v>82000</v>
      </c>
      <c r="F609" s="12">
        <f t="shared" si="333"/>
        <v>82000</v>
      </c>
      <c r="G609" s="12">
        <f t="shared" si="333"/>
        <v>0</v>
      </c>
      <c r="H609" s="12">
        <f t="shared" si="333"/>
        <v>0</v>
      </c>
      <c r="I609" s="12">
        <f t="shared" si="333"/>
        <v>0</v>
      </c>
      <c r="J609" s="12">
        <f t="shared" si="333"/>
        <v>0</v>
      </c>
      <c r="K609" s="12">
        <f t="shared" si="333"/>
        <v>0</v>
      </c>
      <c r="L609" s="12">
        <f t="shared" si="333"/>
        <v>0</v>
      </c>
      <c r="M609" s="12">
        <f t="shared" si="333"/>
        <v>0</v>
      </c>
      <c r="N609" s="12">
        <f t="shared" si="333"/>
        <v>0</v>
      </c>
      <c r="O609" s="12">
        <f t="shared" ref="O609:X610" si="334">SUM(O610:O610)</f>
        <v>82000</v>
      </c>
      <c r="P609" s="12">
        <f t="shared" si="334"/>
        <v>82000</v>
      </c>
      <c r="Q609" s="12">
        <f t="shared" si="334"/>
        <v>0</v>
      </c>
      <c r="R609" s="12">
        <f t="shared" si="334"/>
        <v>0</v>
      </c>
      <c r="S609" s="12">
        <f t="shared" si="334"/>
        <v>0</v>
      </c>
      <c r="T609" s="12">
        <f t="shared" si="334"/>
        <v>0</v>
      </c>
      <c r="U609" s="12">
        <f t="shared" si="334"/>
        <v>0</v>
      </c>
      <c r="V609" s="12">
        <f t="shared" si="334"/>
        <v>0</v>
      </c>
      <c r="W609" s="12">
        <f t="shared" si="334"/>
        <v>0</v>
      </c>
      <c r="X609" s="12">
        <f t="shared" si="334"/>
        <v>0</v>
      </c>
      <c r="Y609" s="11"/>
      <c r="Z609" s="13"/>
      <c r="AA609" s="13"/>
      <c r="AB609" s="13"/>
      <c r="AC609" s="14"/>
    </row>
    <row r="610" spans="1:29" ht="66.75" customHeight="1" x14ac:dyDescent="0.25">
      <c r="A610" s="15" t="s">
        <v>1498</v>
      </c>
      <c r="B610" s="16" t="s">
        <v>1499</v>
      </c>
      <c r="C610" s="17"/>
      <c r="D610" s="17" t="s">
        <v>1482</v>
      </c>
      <c r="E610" s="18">
        <f t="shared" si="333"/>
        <v>82000</v>
      </c>
      <c r="F610" s="18">
        <f t="shared" si="333"/>
        <v>82000</v>
      </c>
      <c r="G610" s="18">
        <f t="shared" si="333"/>
        <v>0</v>
      </c>
      <c r="H610" s="18">
        <f t="shared" si="333"/>
        <v>0</v>
      </c>
      <c r="I610" s="18">
        <f t="shared" si="333"/>
        <v>0</v>
      </c>
      <c r="J610" s="18">
        <f t="shared" si="333"/>
        <v>0</v>
      </c>
      <c r="K610" s="18">
        <f t="shared" si="333"/>
        <v>0</v>
      </c>
      <c r="L610" s="18">
        <f t="shared" si="333"/>
        <v>0</v>
      </c>
      <c r="M610" s="18">
        <f t="shared" si="333"/>
        <v>0</v>
      </c>
      <c r="N610" s="18">
        <f t="shared" si="333"/>
        <v>0</v>
      </c>
      <c r="O610" s="18">
        <f t="shared" si="334"/>
        <v>82000</v>
      </c>
      <c r="P610" s="18">
        <f t="shared" si="334"/>
        <v>82000</v>
      </c>
      <c r="Q610" s="18">
        <f t="shared" si="334"/>
        <v>0</v>
      </c>
      <c r="R610" s="18">
        <f t="shared" si="334"/>
        <v>0</v>
      </c>
      <c r="S610" s="18">
        <f t="shared" si="334"/>
        <v>0</v>
      </c>
      <c r="T610" s="18">
        <f t="shared" si="334"/>
        <v>0</v>
      </c>
      <c r="U610" s="18">
        <f t="shared" si="334"/>
        <v>0</v>
      </c>
      <c r="V610" s="18">
        <f t="shared" si="334"/>
        <v>0</v>
      </c>
      <c r="W610" s="18">
        <f t="shared" si="334"/>
        <v>0</v>
      </c>
      <c r="X610" s="18">
        <f t="shared" si="334"/>
        <v>0</v>
      </c>
      <c r="Y610" s="17"/>
      <c r="Z610" s="19"/>
      <c r="AA610" s="19"/>
      <c r="AB610" s="19"/>
      <c r="AC610" s="20"/>
    </row>
    <row r="611" spans="1:29" ht="40.5" x14ac:dyDescent="0.25">
      <c r="A611" s="21" t="s">
        <v>1500</v>
      </c>
      <c r="B611" s="22" t="s">
        <v>1501</v>
      </c>
      <c r="C611" s="23"/>
      <c r="D611" s="23" t="s">
        <v>1482</v>
      </c>
      <c r="E611" s="24">
        <f>SUM(E612:E617)+82000</f>
        <v>82000</v>
      </c>
      <c r="F611" s="24">
        <f>SUM(F612:F617)+82000</f>
        <v>82000</v>
      </c>
      <c r="G611" s="24">
        <f t="shared" ref="G611:N611" si="335">SUM(G612:G617)</f>
        <v>0</v>
      </c>
      <c r="H611" s="24">
        <f t="shared" si="335"/>
        <v>0</v>
      </c>
      <c r="I611" s="24">
        <f t="shared" si="335"/>
        <v>0</v>
      </c>
      <c r="J611" s="24">
        <f t="shared" si="335"/>
        <v>0</v>
      </c>
      <c r="K611" s="24">
        <f t="shared" si="335"/>
        <v>0</v>
      </c>
      <c r="L611" s="24">
        <f t="shared" si="335"/>
        <v>0</v>
      </c>
      <c r="M611" s="24">
        <f t="shared" si="335"/>
        <v>0</v>
      </c>
      <c r="N611" s="24">
        <f t="shared" si="335"/>
        <v>0</v>
      </c>
      <c r="O611" s="24">
        <f>SUM(O612:O617)+82000</f>
        <v>82000</v>
      </c>
      <c r="P611" s="24">
        <f>SUM(P612:P617)+82000</f>
        <v>82000</v>
      </c>
      <c r="Q611" s="24">
        <f t="shared" ref="Q611:X611" si="336">SUM(Q612:Q617)</f>
        <v>0</v>
      </c>
      <c r="R611" s="24">
        <f t="shared" si="336"/>
        <v>0</v>
      </c>
      <c r="S611" s="24">
        <f t="shared" si="336"/>
        <v>0</v>
      </c>
      <c r="T611" s="24">
        <f t="shared" si="336"/>
        <v>0</v>
      </c>
      <c r="U611" s="24">
        <f t="shared" si="336"/>
        <v>0</v>
      </c>
      <c r="V611" s="24">
        <f t="shared" si="336"/>
        <v>0</v>
      </c>
      <c r="W611" s="24">
        <f t="shared" si="336"/>
        <v>0</v>
      </c>
      <c r="X611" s="24">
        <f t="shared" si="336"/>
        <v>0</v>
      </c>
      <c r="Y611" s="23" t="s">
        <v>1502</v>
      </c>
      <c r="Z611" s="25" t="s">
        <v>1503</v>
      </c>
      <c r="AA611" s="25" t="s">
        <v>1504</v>
      </c>
      <c r="AB611" s="25" t="s">
        <v>1505</v>
      </c>
      <c r="AC611" s="26"/>
    </row>
    <row r="612" spans="1:29" x14ac:dyDescent="0.25">
      <c r="A612" s="28"/>
      <c r="B612" s="29"/>
      <c r="C612" s="30"/>
      <c r="D612" s="30"/>
      <c r="E612" s="31">
        <v>0</v>
      </c>
      <c r="F612" s="31">
        <v>0</v>
      </c>
      <c r="G612" s="31">
        <v>0</v>
      </c>
      <c r="H612" s="31">
        <v>0</v>
      </c>
      <c r="I612" s="31">
        <v>0</v>
      </c>
      <c r="J612" s="31">
        <v>0</v>
      </c>
      <c r="K612" s="31">
        <v>0</v>
      </c>
      <c r="L612" s="31">
        <v>0</v>
      </c>
      <c r="M612" s="31">
        <v>0</v>
      </c>
      <c r="N612" s="31">
        <v>0</v>
      </c>
      <c r="O612" s="31">
        <v>0</v>
      </c>
      <c r="P612" s="31">
        <v>0</v>
      </c>
      <c r="Q612" s="31">
        <v>0</v>
      </c>
      <c r="R612" s="31">
        <v>0</v>
      </c>
      <c r="S612" s="31">
        <v>0</v>
      </c>
      <c r="T612" s="31">
        <v>0</v>
      </c>
      <c r="U612" s="31">
        <v>0</v>
      </c>
      <c r="V612" s="31">
        <v>0</v>
      </c>
      <c r="W612" s="31">
        <v>0</v>
      </c>
      <c r="X612" s="31">
        <v>0</v>
      </c>
      <c r="Y612" s="30" t="s">
        <v>1506</v>
      </c>
      <c r="Z612" s="32" t="s">
        <v>216</v>
      </c>
      <c r="AA612" s="32" t="s">
        <v>77</v>
      </c>
      <c r="AB612" s="32" t="s">
        <v>84</v>
      </c>
      <c r="AC612" s="33"/>
    </row>
    <row r="613" spans="1:29" ht="40.5" x14ac:dyDescent="0.25">
      <c r="A613" s="28"/>
      <c r="B613" s="29"/>
      <c r="C613" s="30"/>
      <c r="D613" s="30"/>
      <c r="E613" s="31">
        <v>0</v>
      </c>
      <c r="F613" s="31">
        <v>0</v>
      </c>
      <c r="G613" s="31">
        <v>0</v>
      </c>
      <c r="H613" s="31">
        <v>0</v>
      </c>
      <c r="I613" s="31">
        <v>0</v>
      </c>
      <c r="J613" s="31">
        <v>0</v>
      </c>
      <c r="K613" s="31">
        <v>0</v>
      </c>
      <c r="L613" s="31">
        <v>0</v>
      </c>
      <c r="M613" s="31">
        <v>0</v>
      </c>
      <c r="N613" s="31">
        <v>0</v>
      </c>
      <c r="O613" s="31">
        <v>0</v>
      </c>
      <c r="P613" s="31">
        <v>0</v>
      </c>
      <c r="Q613" s="31">
        <v>0</v>
      </c>
      <c r="R613" s="31">
        <v>0</v>
      </c>
      <c r="S613" s="31">
        <v>0</v>
      </c>
      <c r="T613" s="31">
        <v>0</v>
      </c>
      <c r="U613" s="31">
        <v>0</v>
      </c>
      <c r="V613" s="31">
        <v>0</v>
      </c>
      <c r="W613" s="31">
        <v>0</v>
      </c>
      <c r="X613" s="31">
        <v>0</v>
      </c>
      <c r="Y613" s="30" t="s">
        <v>1507</v>
      </c>
      <c r="Z613" s="32" t="s">
        <v>34</v>
      </c>
      <c r="AA613" s="32" t="s">
        <v>753</v>
      </c>
      <c r="AB613" s="32" t="s">
        <v>753</v>
      </c>
      <c r="AC613" s="33"/>
    </row>
    <row r="614" spans="1:29" ht="75.75" customHeight="1" x14ac:dyDescent="0.25">
      <c r="A614" s="28"/>
      <c r="B614" s="29"/>
      <c r="C614" s="30"/>
      <c r="D614" s="30"/>
      <c r="E614" s="31">
        <v>0</v>
      </c>
      <c r="F614" s="31">
        <v>0</v>
      </c>
      <c r="G614" s="31">
        <v>0</v>
      </c>
      <c r="H614" s="31">
        <v>0</v>
      </c>
      <c r="I614" s="31">
        <v>0</v>
      </c>
      <c r="J614" s="31">
        <v>0</v>
      </c>
      <c r="K614" s="31">
        <v>0</v>
      </c>
      <c r="L614" s="31">
        <v>0</v>
      </c>
      <c r="M614" s="31">
        <v>0</v>
      </c>
      <c r="N614" s="31">
        <v>0</v>
      </c>
      <c r="O614" s="31">
        <v>0</v>
      </c>
      <c r="P614" s="31">
        <v>0</v>
      </c>
      <c r="Q614" s="31">
        <v>0</v>
      </c>
      <c r="R614" s="31">
        <v>0</v>
      </c>
      <c r="S614" s="31">
        <v>0</v>
      </c>
      <c r="T614" s="31">
        <v>0</v>
      </c>
      <c r="U614" s="31">
        <v>0</v>
      </c>
      <c r="V614" s="31">
        <v>0</v>
      </c>
      <c r="W614" s="31">
        <v>0</v>
      </c>
      <c r="X614" s="31">
        <v>0</v>
      </c>
      <c r="Y614" s="30" t="s">
        <v>1508</v>
      </c>
      <c r="Z614" s="32" t="s">
        <v>1503</v>
      </c>
      <c r="AA614" s="32" t="s">
        <v>1509</v>
      </c>
      <c r="AB614" s="32" t="s">
        <v>1510</v>
      </c>
      <c r="AC614" s="33"/>
    </row>
    <row r="615" spans="1:29" ht="40.5" x14ac:dyDescent="0.25">
      <c r="A615" s="28"/>
      <c r="B615" s="29"/>
      <c r="C615" s="30"/>
      <c r="D615" s="30"/>
      <c r="E615" s="31">
        <v>0</v>
      </c>
      <c r="F615" s="31">
        <v>0</v>
      </c>
      <c r="G615" s="31">
        <v>0</v>
      </c>
      <c r="H615" s="31">
        <v>0</v>
      </c>
      <c r="I615" s="31">
        <v>0</v>
      </c>
      <c r="J615" s="31">
        <v>0</v>
      </c>
      <c r="K615" s="31">
        <v>0</v>
      </c>
      <c r="L615" s="31">
        <v>0</v>
      </c>
      <c r="M615" s="31">
        <v>0</v>
      </c>
      <c r="N615" s="31">
        <v>0</v>
      </c>
      <c r="O615" s="31">
        <v>0</v>
      </c>
      <c r="P615" s="31">
        <v>0</v>
      </c>
      <c r="Q615" s="31">
        <v>0</v>
      </c>
      <c r="R615" s="31">
        <v>0</v>
      </c>
      <c r="S615" s="31">
        <v>0</v>
      </c>
      <c r="T615" s="31">
        <v>0</v>
      </c>
      <c r="U615" s="31">
        <v>0</v>
      </c>
      <c r="V615" s="31">
        <v>0</v>
      </c>
      <c r="W615" s="31">
        <v>0</v>
      </c>
      <c r="X615" s="31">
        <v>0</v>
      </c>
      <c r="Y615" s="30" t="s">
        <v>1511</v>
      </c>
      <c r="Z615" s="32" t="s">
        <v>34</v>
      </c>
      <c r="AA615" s="32" t="s">
        <v>35</v>
      </c>
      <c r="AB615" s="32" t="s">
        <v>1512</v>
      </c>
      <c r="AC615" s="33"/>
    </row>
    <row r="616" spans="1:29" ht="51.75" customHeight="1" x14ac:dyDescent="0.25">
      <c r="A616" s="28"/>
      <c r="B616" s="29"/>
      <c r="C616" s="30"/>
      <c r="D616" s="30"/>
      <c r="E616" s="31">
        <v>0</v>
      </c>
      <c r="F616" s="31">
        <v>0</v>
      </c>
      <c r="G616" s="31">
        <v>0</v>
      </c>
      <c r="H616" s="31">
        <v>0</v>
      </c>
      <c r="I616" s="31">
        <v>0</v>
      </c>
      <c r="J616" s="31">
        <v>0</v>
      </c>
      <c r="K616" s="31">
        <v>0</v>
      </c>
      <c r="L616" s="31">
        <v>0</v>
      </c>
      <c r="M616" s="31">
        <v>0</v>
      </c>
      <c r="N616" s="31">
        <v>0</v>
      </c>
      <c r="O616" s="31">
        <v>0</v>
      </c>
      <c r="P616" s="31">
        <v>0</v>
      </c>
      <c r="Q616" s="31">
        <v>0</v>
      </c>
      <c r="R616" s="31">
        <v>0</v>
      </c>
      <c r="S616" s="31">
        <v>0</v>
      </c>
      <c r="T616" s="31">
        <v>0</v>
      </c>
      <c r="U616" s="31">
        <v>0</v>
      </c>
      <c r="V616" s="31">
        <v>0</v>
      </c>
      <c r="W616" s="31">
        <v>0</v>
      </c>
      <c r="X616" s="31">
        <v>0</v>
      </c>
      <c r="Y616" s="30" t="s">
        <v>1513</v>
      </c>
      <c r="Z616" s="32" t="s">
        <v>34</v>
      </c>
      <c r="AA616" s="32" t="s">
        <v>109</v>
      </c>
      <c r="AB616" s="32" t="s">
        <v>42</v>
      </c>
      <c r="AC616" s="33"/>
    </row>
    <row r="617" spans="1:29" ht="50.25" customHeight="1" x14ac:dyDescent="0.25">
      <c r="A617" s="34" t="s">
        <v>1514</v>
      </c>
      <c r="B617" s="35" t="s">
        <v>1515</v>
      </c>
      <c r="C617" s="36"/>
      <c r="D617" s="36" t="s">
        <v>1482</v>
      </c>
      <c r="E617" s="37">
        <v>0</v>
      </c>
      <c r="F617" s="37">
        <v>0</v>
      </c>
      <c r="G617" s="37">
        <v>0</v>
      </c>
      <c r="H617" s="37">
        <v>0</v>
      </c>
      <c r="I617" s="37">
        <v>0</v>
      </c>
      <c r="J617" s="37">
        <v>0</v>
      </c>
      <c r="K617" s="37">
        <v>0</v>
      </c>
      <c r="L617" s="37">
        <v>0</v>
      </c>
      <c r="M617" s="37">
        <v>0</v>
      </c>
      <c r="N617" s="37">
        <v>0</v>
      </c>
      <c r="O617" s="37">
        <v>0</v>
      </c>
      <c r="P617" s="37">
        <v>0</v>
      </c>
      <c r="Q617" s="37">
        <v>0</v>
      </c>
      <c r="R617" s="37">
        <v>0</v>
      </c>
      <c r="S617" s="37">
        <v>0</v>
      </c>
      <c r="T617" s="37">
        <v>0</v>
      </c>
      <c r="U617" s="37">
        <v>0</v>
      </c>
      <c r="V617" s="37">
        <v>0</v>
      </c>
      <c r="W617" s="37">
        <v>0</v>
      </c>
      <c r="X617" s="37">
        <v>0</v>
      </c>
      <c r="Y617" s="36"/>
      <c r="Z617" s="38"/>
      <c r="AA617" s="38"/>
      <c r="AB617" s="38"/>
      <c r="AC617" s="39"/>
    </row>
    <row r="618" spans="1:29" ht="29.25" customHeight="1" x14ac:dyDescent="0.25">
      <c r="A618" s="62"/>
      <c r="B618" s="62"/>
      <c r="C618" s="63"/>
      <c r="D618" s="63"/>
      <c r="E618" s="64"/>
      <c r="F618" s="64"/>
      <c r="G618" s="64"/>
      <c r="H618" s="64"/>
      <c r="I618" s="64"/>
      <c r="J618" s="64"/>
      <c r="K618" s="64"/>
      <c r="L618" s="64"/>
      <c r="M618" s="64"/>
      <c r="N618" s="64"/>
      <c r="O618" s="64"/>
      <c r="P618" s="64"/>
      <c r="Q618" s="64"/>
      <c r="R618" s="64"/>
      <c r="S618" s="64"/>
      <c r="T618" s="64"/>
      <c r="U618" s="64"/>
      <c r="V618" s="64"/>
      <c r="W618" s="64"/>
      <c r="X618" s="64"/>
      <c r="Y618" s="63"/>
      <c r="Z618" s="65"/>
      <c r="AA618" s="65"/>
      <c r="AB618" s="65"/>
      <c r="AC618" s="63"/>
    </row>
    <row r="619" spans="1:29" ht="20.25" customHeight="1" x14ac:dyDescent="0.25">
      <c r="A619" s="62"/>
      <c r="B619" s="62"/>
      <c r="C619" s="63"/>
      <c r="D619" s="63"/>
      <c r="E619" s="64"/>
      <c r="F619" s="64"/>
      <c r="G619" s="64"/>
      <c r="H619" s="64"/>
      <c r="I619" s="64"/>
      <c r="J619" s="64"/>
      <c r="K619" s="64"/>
      <c r="L619" s="64"/>
      <c r="M619" s="64"/>
      <c r="N619" s="64"/>
      <c r="O619" s="64"/>
      <c r="P619" s="64"/>
      <c r="Q619" s="64"/>
      <c r="R619" s="64"/>
      <c r="S619" s="64"/>
      <c r="T619" s="64"/>
      <c r="U619" s="64"/>
      <c r="V619" s="64"/>
      <c r="W619" s="64"/>
      <c r="X619" s="64"/>
      <c r="Y619" s="63"/>
      <c r="Z619" s="65"/>
      <c r="AA619" s="65"/>
      <c r="AB619" s="65"/>
      <c r="AC619" s="63"/>
    </row>
    <row r="620" spans="1:29" s="44" customFormat="1" x14ac:dyDescent="0.25">
      <c r="A620" s="40"/>
      <c r="B620" s="40"/>
      <c r="C620" s="41"/>
      <c r="D620" s="41"/>
      <c r="E620" s="42"/>
      <c r="F620" s="42"/>
      <c r="G620" s="42"/>
      <c r="H620" s="42"/>
      <c r="I620" s="42"/>
      <c r="J620" s="42"/>
      <c r="K620" s="42"/>
      <c r="L620" s="42"/>
      <c r="M620" s="42"/>
      <c r="N620" s="42"/>
      <c r="O620" s="42"/>
      <c r="P620" s="42"/>
      <c r="Q620" s="42"/>
      <c r="R620" s="42"/>
      <c r="S620" s="42"/>
      <c r="T620" s="42"/>
      <c r="U620" s="42"/>
      <c r="V620" s="42"/>
      <c r="W620" s="42"/>
      <c r="X620" s="42"/>
      <c r="Y620" s="41"/>
      <c r="Z620" s="43"/>
      <c r="AA620" s="43"/>
      <c r="AB620" s="43"/>
      <c r="AC620" s="41"/>
    </row>
    <row r="621" spans="1:29" x14ac:dyDescent="0.25">
      <c r="A621" s="57" t="s">
        <v>0</v>
      </c>
      <c r="B621" s="57" t="s">
        <v>1</v>
      </c>
      <c r="C621" s="57" t="s">
        <v>4</v>
      </c>
      <c r="D621" s="57" t="s">
        <v>5</v>
      </c>
      <c r="E621" s="57"/>
      <c r="F621" s="57"/>
      <c r="G621" s="57"/>
      <c r="H621" s="57"/>
      <c r="I621" s="57"/>
      <c r="J621" s="57"/>
      <c r="K621" s="57"/>
      <c r="L621" s="57"/>
      <c r="M621" s="57" t="s">
        <v>6</v>
      </c>
      <c r="N621" s="57" t="s">
        <v>5</v>
      </c>
      <c r="O621" s="57"/>
      <c r="P621" s="57"/>
      <c r="Q621" s="57"/>
      <c r="R621" s="57"/>
      <c r="S621" s="57"/>
      <c r="T621" s="57"/>
      <c r="U621" s="57"/>
      <c r="V621" s="57"/>
    </row>
    <row r="622" spans="1:29" x14ac:dyDescent="0.25">
      <c r="A622" s="57"/>
      <c r="B622" s="57"/>
      <c r="C622" s="57"/>
      <c r="D622" s="45" t="s">
        <v>8</v>
      </c>
      <c r="E622" s="45" t="s">
        <v>9</v>
      </c>
      <c r="F622" s="45" t="s">
        <v>10</v>
      </c>
      <c r="G622" s="45" t="s">
        <v>11</v>
      </c>
      <c r="H622" s="45" t="s">
        <v>12</v>
      </c>
      <c r="I622" s="45" t="s">
        <v>13</v>
      </c>
      <c r="J622" s="45" t="s">
        <v>14</v>
      </c>
      <c r="K622" s="45" t="s">
        <v>15</v>
      </c>
      <c r="L622" s="45" t="s">
        <v>16</v>
      </c>
      <c r="M622" s="57"/>
      <c r="N622" s="45" t="s">
        <v>8</v>
      </c>
      <c r="O622" s="45" t="s">
        <v>9</v>
      </c>
      <c r="P622" s="45" t="s">
        <v>10</v>
      </c>
      <c r="Q622" s="45" t="s">
        <v>11</v>
      </c>
      <c r="R622" s="45" t="s">
        <v>12</v>
      </c>
      <c r="S622" s="45" t="s">
        <v>13</v>
      </c>
      <c r="T622" s="45" t="s">
        <v>14</v>
      </c>
      <c r="U622" s="45" t="s">
        <v>15</v>
      </c>
      <c r="V622" s="45" t="s">
        <v>16</v>
      </c>
    </row>
    <row r="623" spans="1:29" x14ac:dyDescent="0.25">
      <c r="A623" s="29" t="s">
        <v>1516</v>
      </c>
      <c r="B623" s="29" t="s">
        <v>1517</v>
      </c>
      <c r="C623" s="46">
        <f t="shared" ref="C623:V623" si="337">SUM(C624:C629)</f>
        <v>16464775.34</v>
      </c>
      <c r="D623" s="46">
        <f t="shared" si="337"/>
        <v>10787551.75</v>
      </c>
      <c r="E623" s="46">
        <f t="shared" si="337"/>
        <v>62701</v>
      </c>
      <c r="F623" s="46">
        <f t="shared" si="337"/>
        <v>75000</v>
      </c>
      <c r="G623" s="46">
        <f t="shared" si="337"/>
        <v>2616051.9500000002</v>
      </c>
      <c r="H623" s="46">
        <f t="shared" si="337"/>
        <v>618223.05000000005</v>
      </c>
      <c r="I623" s="46">
        <f t="shared" si="337"/>
        <v>1992460.64</v>
      </c>
      <c r="J623" s="46">
        <f t="shared" si="337"/>
        <v>312786.95</v>
      </c>
      <c r="K623" s="46">
        <f t="shared" si="337"/>
        <v>0</v>
      </c>
      <c r="L623" s="46">
        <f t="shared" si="337"/>
        <v>0</v>
      </c>
      <c r="M623" s="46">
        <f t="shared" si="337"/>
        <v>15681553.089999998</v>
      </c>
      <c r="N623" s="46">
        <f t="shared" si="337"/>
        <v>9207449.9399999995</v>
      </c>
      <c r="O623" s="46">
        <f t="shared" si="337"/>
        <v>50464.21</v>
      </c>
      <c r="P623" s="46">
        <f t="shared" si="337"/>
        <v>51792.84</v>
      </c>
      <c r="Q623" s="46">
        <f t="shared" si="337"/>
        <v>2149838.39</v>
      </c>
      <c r="R623" s="46">
        <f t="shared" si="337"/>
        <v>530532.24</v>
      </c>
      <c r="S623" s="46">
        <f t="shared" si="337"/>
        <v>1671170.41</v>
      </c>
      <c r="T623" s="46">
        <f t="shared" si="337"/>
        <v>2019926.91</v>
      </c>
      <c r="U623" s="46">
        <f t="shared" si="337"/>
        <v>0</v>
      </c>
      <c r="V623" s="46">
        <f t="shared" si="337"/>
        <v>0</v>
      </c>
    </row>
    <row r="624" spans="1:29" x14ac:dyDescent="0.25">
      <c r="A624" s="29" t="s">
        <v>1518</v>
      </c>
      <c r="B624" s="29" t="s">
        <v>1519</v>
      </c>
      <c r="C624" s="31">
        <v>10862551.75</v>
      </c>
      <c r="D624" s="31">
        <v>10787551.75</v>
      </c>
      <c r="E624" s="31">
        <v>0</v>
      </c>
      <c r="F624" s="31">
        <v>75000</v>
      </c>
      <c r="G624" s="31">
        <v>0</v>
      </c>
      <c r="H624" s="31">
        <v>0</v>
      </c>
      <c r="I624" s="31">
        <v>0</v>
      </c>
      <c r="J624" s="31">
        <v>0</v>
      </c>
      <c r="K624" s="31">
        <v>0</v>
      </c>
      <c r="L624" s="31">
        <v>0</v>
      </c>
      <c r="M624" s="31">
        <v>9259242.7799999993</v>
      </c>
      <c r="N624" s="31">
        <v>9207449.9399999995</v>
      </c>
      <c r="O624" s="31">
        <v>0</v>
      </c>
      <c r="P624" s="31">
        <v>51792.84</v>
      </c>
      <c r="Q624" s="31">
        <v>0</v>
      </c>
      <c r="R624" s="31">
        <v>0</v>
      </c>
      <c r="S624" s="31">
        <v>0</v>
      </c>
      <c r="T624" s="31">
        <v>0</v>
      </c>
      <c r="U624" s="31">
        <v>0</v>
      </c>
      <c r="V624" s="31">
        <v>0</v>
      </c>
    </row>
    <row r="625" spans="1:22" x14ac:dyDescent="0.25">
      <c r="A625" s="29" t="s">
        <v>1520</v>
      </c>
      <c r="B625" s="29" t="s">
        <v>1521</v>
      </c>
      <c r="C625" s="31">
        <v>62701</v>
      </c>
      <c r="D625" s="31">
        <v>0</v>
      </c>
      <c r="E625" s="31">
        <v>62701</v>
      </c>
      <c r="F625" s="31">
        <v>0</v>
      </c>
      <c r="G625" s="31">
        <v>0</v>
      </c>
      <c r="H625" s="31">
        <v>0</v>
      </c>
      <c r="I625" s="31">
        <v>0</v>
      </c>
      <c r="J625" s="31">
        <v>0</v>
      </c>
      <c r="K625" s="31">
        <v>0</v>
      </c>
      <c r="L625" s="31">
        <v>0</v>
      </c>
      <c r="M625" s="31">
        <v>50842.36</v>
      </c>
      <c r="N625" s="31">
        <v>0</v>
      </c>
      <c r="O625" s="31">
        <v>50464.21</v>
      </c>
      <c r="P625" s="31">
        <v>0</v>
      </c>
      <c r="Q625" s="31">
        <v>0</v>
      </c>
      <c r="R625" s="31">
        <v>0</v>
      </c>
      <c r="S625" s="31">
        <v>0</v>
      </c>
      <c r="T625" s="31">
        <v>0</v>
      </c>
      <c r="U625" s="31">
        <v>0</v>
      </c>
      <c r="V625" s="31">
        <v>0</v>
      </c>
    </row>
    <row r="626" spans="1:22" x14ac:dyDescent="0.25">
      <c r="A626" s="29" t="s">
        <v>1522</v>
      </c>
      <c r="B626" s="29" t="s">
        <v>1523</v>
      </c>
      <c r="C626" s="31">
        <v>2616051.9500000002</v>
      </c>
      <c r="D626" s="31">
        <v>0</v>
      </c>
      <c r="E626" s="31">
        <v>0</v>
      </c>
      <c r="F626" s="31">
        <v>0</v>
      </c>
      <c r="G626" s="31">
        <v>2616051.9500000002</v>
      </c>
      <c r="H626" s="31">
        <v>0</v>
      </c>
      <c r="I626" s="31">
        <v>0</v>
      </c>
      <c r="J626" s="31">
        <v>0</v>
      </c>
      <c r="K626" s="31">
        <v>0</v>
      </c>
      <c r="L626" s="31">
        <v>0</v>
      </c>
      <c r="M626" s="31">
        <v>4111862.62</v>
      </c>
      <c r="N626" s="31">
        <v>0</v>
      </c>
      <c r="O626" s="31">
        <v>0</v>
      </c>
      <c r="P626" s="31">
        <v>0</v>
      </c>
      <c r="Q626" s="31">
        <v>2149838.39</v>
      </c>
      <c r="R626" s="31">
        <v>0</v>
      </c>
      <c r="S626" s="31">
        <v>0</v>
      </c>
      <c r="T626" s="31">
        <v>1962024.23</v>
      </c>
      <c r="U626" s="31">
        <v>0</v>
      </c>
      <c r="V626" s="31">
        <v>0</v>
      </c>
    </row>
    <row r="627" spans="1:22" x14ac:dyDescent="0.25">
      <c r="A627" s="29" t="s">
        <v>1524</v>
      </c>
      <c r="B627" s="29" t="s">
        <v>1525</v>
      </c>
      <c r="C627" s="31">
        <v>618223.05000000005</v>
      </c>
      <c r="D627" s="31">
        <v>0</v>
      </c>
      <c r="E627" s="31">
        <v>0</v>
      </c>
      <c r="F627" s="31">
        <v>0</v>
      </c>
      <c r="G627" s="31">
        <v>0</v>
      </c>
      <c r="H627" s="31">
        <v>618223.05000000005</v>
      </c>
      <c r="I627" s="31">
        <v>0</v>
      </c>
      <c r="J627" s="31">
        <v>0</v>
      </c>
      <c r="K627" s="31">
        <v>0</v>
      </c>
      <c r="L627" s="31">
        <v>0</v>
      </c>
      <c r="M627" s="31">
        <v>530532.24</v>
      </c>
      <c r="N627" s="31">
        <v>0</v>
      </c>
      <c r="O627" s="31">
        <v>0</v>
      </c>
      <c r="P627" s="31">
        <v>0</v>
      </c>
      <c r="Q627" s="31">
        <v>0</v>
      </c>
      <c r="R627" s="31">
        <v>530532.24</v>
      </c>
      <c r="S627" s="31">
        <v>0</v>
      </c>
      <c r="T627" s="31">
        <v>0</v>
      </c>
      <c r="U627" s="31">
        <v>0</v>
      </c>
      <c r="V627" s="31">
        <v>0</v>
      </c>
    </row>
    <row r="628" spans="1:22" ht="40.5" x14ac:dyDescent="0.25">
      <c r="A628" s="29" t="s">
        <v>1526</v>
      </c>
      <c r="B628" s="29" t="s">
        <v>1527</v>
      </c>
      <c r="C628" s="31">
        <v>1992460.64</v>
      </c>
      <c r="D628" s="31">
        <v>0</v>
      </c>
      <c r="E628" s="31">
        <v>0</v>
      </c>
      <c r="F628" s="31">
        <v>0</v>
      </c>
      <c r="G628" s="31">
        <v>0</v>
      </c>
      <c r="H628" s="31">
        <v>0</v>
      </c>
      <c r="I628" s="31">
        <v>1992460.64</v>
      </c>
      <c r="J628" s="31">
        <v>0</v>
      </c>
      <c r="K628" s="31">
        <v>0</v>
      </c>
      <c r="L628" s="31">
        <v>0</v>
      </c>
      <c r="M628" s="31">
        <v>1671170.41</v>
      </c>
      <c r="N628" s="31">
        <v>0</v>
      </c>
      <c r="O628" s="31">
        <v>0</v>
      </c>
      <c r="P628" s="31">
        <v>0</v>
      </c>
      <c r="Q628" s="31">
        <v>0</v>
      </c>
      <c r="R628" s="31">
        <v>0</v>
      </c>
      <c r="S628" s="31">
        <v>1671170.41</v>
      </c>
      <c r="T628" s="31">
        <v>0</v>
      </c>
      <c r="U628" s="31">
        <v>0</v>
      </c>
      <c r="V628" s="31">
        <v>0</v>
      </c>
    </row>
    <row r="629" spans="1:22" ht="60.75" x14ac:dyDescent="0.25">
      <c r="A629" s="29" t="s">
        <v>1528</v>
      </c>
      <c r="B629" s="29" t="s">
        <v>1529</v>
      </c>
      <c r="C629" s="31">
        <v>312786.95</v>
      </c>
      <c r="D629" s="31">
        <v>0</v>
      </c>
      <c r="E629" s="31">
        <v>0</v>
      </c>
      <c r="F629" s="31">
        <v>0</v>
      </c>
      <c r="G629" s="31">
        <v>0</v>
      </c>
      <c r="H629" s="31">
        <v>0</v>
      </c>
      <c r="I629" s="31">
        <v>0</v>
      </c>
      <c r="J629" s="31">
        <v>312786.95</v>
      </c>
      <c r="K629" s="31">
        <v>0</v>
      </c>
      <c r="L629" s="31">
        <v>0</v>
      </c>
      <c r="M629" s="31">
        <v>57902.68</v>
      </c>
      <c r="N629" s="31">
        <v>0</v>
      </c>
      <c r="O629" s="31">
        <v>0</v>
      </c>
      <c r="P629" s="31">
        <v>0</v>
      </c>
      <c r="Q629" s="31">
        <v>0</v>
      </c>
      <c r="R629" s="31">
        <v>0</v>
      </c>
      <c r="S629" s="31">
        <v>0</v>
      </c>
      <c r="T629" s="31">
        <v>57902.68</v>
      </c>
      <c r="U629" s="31">
        <v>0</v>
      </c>
      <c r="V629" s="31">
        <v>0</v>
      </c>
    </row>
    <row r="630" spans="1:22" x14ac:dyDescent="0.25">
      <c r="A630" s="29" t="s">
        <v>1530</v>
      </c>
      <c r="B630" s="29" t="s">
        <v>1531</v>
      </c>
      <c r="C630" s="31">
        <v>844683.09</v>
      </c>
      <c r="D630" s="31">
        <v>0</v>
      </c>
      <c r="E630" s="31">
        <v>0</v>
      </c>
      <c r="F630" s="31">
        <v>0</v>
      </c>
      <c r="G630" s="31">
        <v>0</v>
      </c>
      <c r="H630" s="31">
        <v>0</v>
      </c>
      <c r="I630" s="31">
        <v>844683.09</v>
      </c>
      <c r="J630" s="31">
        <v>0</v>
      </c>
      <c r="K630" s="31">
        <v>0</v>
      </c>
      <c r="L630" s="31">
        <v>0</v>
      </c>
      <c r="M630" s="31">
        <v>938232.15</v>
      </c>
      <c r="N630" s="31">
        <v>0</v>
      </c>
      <c r="O630" s="31">
        <v>0</v>
      </c>
      <c r="P630" s="31">
        <v>0</v>
      </c>
      <c r="Q630" s="31">
        <v>0</v>
      </c>
      <c r="R630" s="31">
        <v>0</v>
      </c>
      <c r="S630" s="31">
        <v>938232.15</v>
      </c>
      <c r="T630" s="31">
        <v>0</v>
      </c>
      <c r="U630" s="31">
        <v>0</v>
      </c>
      <c r="V630" s="31">
        <v>0</v>
      </c>
    </row>
    <row r="631" spans="1:22" ht="40.5" x14ac:dyDescent="0.25">
      <c r="A631" s="29" t="s">
        <v>1532</v>
      </c>
      <c r="B631" s="29" t="s">
        <v>1533</v>
      </c>
      <c r="C631" s="31">
        <v>312476.59999999998</v>
      </c>
      <c r="D631" s="31">
        <v>0</v>
      </c>
      <c r="E631" s="31">
        <v>0</v>
      </c>
      <c r="F631" s="31">
        <v>0</v>
      </c>
      <c r="G631" s="31">
        <v>0</v>
      </c>
      <c r="H631" s="31">
        <v>0</v>
      </c>
      <c r="I631" s="31">
        <v>0</v>
      </c>
      <c r="J631" s="31">
        <v>312476.59999999998</v>
      </c>
      <c r="K631" s="31">
        <v>0</v>
      </c>
      <c r="L631" s="31">
        <v>0</v>
      </c>
      <c r="M631" s="31">
        <v>236759.33</v>
      </c>
      <c r="N631" s="31">
        <v>0</v>
      </c>
      <c r="O631" s="31">
        <v>0</v>
      </c>
      <c r="P631" s="31">
        <v>0</v>
      </c>
      <c r="Q631" s="31">
        <v>0</v>
      </c>
      <c r="R631" s="31">
        <v>0</v>
      </c>
      <c r="S631" s="31">
        <v>0</v>
      </c>
      <c r="T631" s="31">
        <v>236759.33</v>
      </c>
      <c r="U631" s="31">
        <v>0</v>
      </c>
      <c r="V631" s="31">
        <v>0</v>
      </c>
    </row>
    <row r="632" spans="1:22" x14ac:dyDescent="0.25">
      <c r="A632" s="29" t="s">
        <v>1534</v>
      </c>
      <c r="B632" s="29" t="s">
        <v>1535</v>
      </c>
      <c r="C632" s="46">
        <f t="shared" ref="C632:V632" si="338">SUM(C633:C634)</f>
        <v>544302</v>
      </c>
      <c r="D632" s="46">
        <f t="shared" si="338"/>
        <v>0</v>
      </c>
      <c r="E632" s="46">
        <f t="shared" si="338"/>
        <v>0</v>
      </c>
      <c r="F632" s="46">
        <f t="shared" si="338"/>
        <v>0</v>
      </c>
      <c r="G632" s="46">
        <f t="shared" si="338"/>
        <v>0</v>
      </c>
      <c r="H632" s="46">
        <f t="shared" si="338"/>
        <v>0</v>
      </c>
      <c r="I632" s="46">
        <f t="shared" si="338"/>
        <v>0</v>
      </c>
      <c r="J632" s="46">
        <f t="shared" si="338"/>
        <v>0</v>
      </c>
      <c r="K632" s="46">
        <f t="shared" si="338"/>
        <v>0</v>
      </c>
      <c r="L632" s="46">
        <f t="shared" si="338"/>
        <v>544302</v>
      </c>
      <c r="M632" s="46">
        <f t="shared" si="338"/>
        <v>19805</v>
      </c>
      <c r="N632" s="46">
        <f t="shared" si="338"/>
        <v>0</v>
      </c>
      <c r="O632" s="46">
        <f t="shared" si="338"/>
        <v>0</v>
      </c>
      <c r="P632" s="46">
        <f t="shared" si="338"/>
        <v>0</v>
      </c>
      <c r="Q632" s="46">
        <f t="shared" si="338"/>
        <v>0</v>
      </c>
      <c r="R632" s="46">
        <f t="shared" si="338"/>
        <v>0</v>
      </c>
      <c r="S632" s="46">
        <f t="shared" si="338"/>
        <v>0</v>
      </c>
      <c r="T632" s="46">
        <f t="shared" si="338"/>
        <v>0</v>
      </c>
      <c r="U632" s="46">
        <f t="shared" si="338"/>
        <v>0</v>
      </c>
      <c r="V632" s="46">
        <f t="shared" si="338"/>
        <v>19805</v>
      </c>
    </row>
    <row r="633" spans="1:22" x14ac:dyDescent="0.25">
      <c r="A633" s="29" t="s">
        <v>1536</v>
      </c>
      <c r="B633" s="29" t="s">
        <v>1537</v>
      </c>
      <c r="C633" s="31">
        <v>16400</v>
      </c>
      <c r="D633" s="31">
        <v>0</v>
      </c>
      <c r="E633" s="31">
        <v>0</v>
      </c>
      <c r="F633" s="31">
        <v>0</v>
      </c>
      <c r="G633" s="31">
        <v>0</v>
      </c>
      <c r="H633" s="31">
        <v>0</v>
      </c>
      <c r="I633" s="31">
        <v>0</v>
      </c>
      <c r="J633" s="31">
        <v>0</v>
      </c>
      <c r="K633" s="31">
        <v>0</v>
      </c>
      <c r="L633" s="31">
        <v>16400</v>
      </c>
      <c r="M633" s="31">
        <v>19805</v>
      </c>
      <c r="N633" s="31">
        <v>0</v>
      </c>
      <c r="O633" s="31">
        <v>0</v>
      </c>
      <c r="P633" s="31">
        <v>0</v>
      </c>
      <c r="Q633" s="31">
        <v>0</v>
      </c>
      <c r="R633" s="31">
        <v>0</v>
      </c>
      <c r="S633" s="31">
        <v>0</v>
      </c>
      <c r="T633" s="31">
        <v>0</v>
      </c>
      <c r="U633" s="31">
        <v>0</v>
      </c>
      <c r="V633" s="31">
        <v>19805</v>
      </c>
    </row>
    <row r="634" spans="1:22" x14ac:dyDescent="0.25">
      <c r="A634" s="29" t="s">
        <v>1538</v>
      </c>
      <c r="B634" s="29" t="s">
        <v>1539</v>
      </c>
      <c r="C634" s="31">
        <v>527902</v>
      </c>
      <c r="D634" s="31">
        <v>0</v>
      </c>
      <c r="E634" s="31">
        <v>0</v>
      </c>
      <c r="F634" s="31">
        <v>0</v>
      </c>
      <c r="G634" s="31">
        <v>0</v>
      </c>
      <c r="H634" s="31">
        <v>0</v>
      </c>
      <c r="I634" s="31">
        <v>0</v>
      </c>
      <c r="J634" s="31">
        <v>0</v>
      </c>
      <c r="K634" s="31">
        <v>0</v>
      </c>
      <c r="L634" s="31">
        <v>527902</v>
      </c>
      <c r="M634" s="31">
        <v>0</v>
      </c>
      <c r="N634" s="31">
        <v>0</v>
      </c>
      <c r="O634" s="31">
        <v>0</v>
      </c>
      <c r="P634" s="31">
        <v>0</v>
      </c>
      <c r="Q634" s="31">
        <v>0</v>
      </c>
      <c r="R634" s="31">
        <v>0</v>
      </c>
      <c r="S634" s="31">
        <v>0</v>
      </c>
      <c r="T634" s="31">
        <v>0</v>
      </c>
      <c r="U634" s="31">
        <v>0</v>
      </c>
      <c r="V634" s="31">
        <v>0</v>
      </c>
    </row>
    <row r="635" spans="1:22" x14ac:dyDescent="0.25">
      <c r="A635" s="47"/>
      <c r="B635" s="48" t="s">
        <v>1540</v>
      </c>
      <c r="C635" s="49">
        <f t="shared" ref="C635:V635" si="339">C623+C630+C631+C632</f>
        <v>18166237.030000001</v>
      </c>
      <c r="D635" s="49">
        <f t="shared" si="339"/>
        <v>10787551.75</v>
      </c>
      <c r="E635" s="49">
        <f t="shared" si="339"/>
        <v>62701</v>
      </c>
      <c r="F635" s="49">
        <f t="shared" si="339"/>
        <v>75000</v>
      </c>
      <c r="G635" s="49">
        <f t="shared" si="339"/>
        <v>2616051.9500000002</v>
      </c>
      <c r="H635" s="49">
        <f t="shared" si="339"/>
        <v>618223.05000000005</v>
      </c>
      <c r="I635" s="49">
        <f t="shared" si="339"/>
        <v>2837143.73</v>
      </c>
      <c r="J635" s="49">
        <f t="shared" si="339"/>
        <v>625263.55000000005</v>
      </c>
      <c r="K635" s="49">
        <f t="shared" si="339"/>
        <v>0</v>
      </c>
      <c r="L635" s="49">
        <f t="shared" si="339"/>
        <v>544302</v>
      </c>
      <c r="M635" s="49">
        <f t="shared" si="339"/>
        <v>16876349.569999997</v>
      </c>
      <c r="N635" s="49">
        <f t="shared" si="339"/>
        <v>9207449.9399999995</v>
      </c>
      <c r="O635" s="49">
        <f t="shared" si="339"/>
        <v>50464.21</v>
      </c>
      <c r="P635" s="49">
        <f t="shared" si="339"/>
        <v>51792.84</v>
      </c>
      <c r="Q635" s="49">
        <f t="shared" si="339"/>
        <v>2149838.39</v>
      </c>
      <c r="R635" s="49">
        <f t="shared" si="339"/>
        <v>530532.24</v>
      </c>
      <c r="S635" s="49">
        <f t="shared" si="339"/>
        <v>2609402.56</v>
      </c>
      <c r="T635" s="49">
        <f t="shared" si="339"/>
        <v>2256686.2399999998</v>
      </c>
      <c r="U635" s="49">
        <f t="shared" si="339"/>
        <v>0</v>
      </c>
      <c r="V635" s="49">
        <f t="shared" si="339"/>
        <v>19805</v>
      </c>
    </row>
  </sheetData>
  <mergeCells count="38">
    <mergeCell ref="N621:V621"/>
    <mergeCell ref="A621:A622"/>
    <mergeCell ref="B621:B622"/>
    <mergeCell ref="C621:C622"/>
    <mergeCell ref="M621:M622"/>
    <mergeCell ref="D621:L621"/>
    <mergeCell ref="Z5:Z6"/>
    <mergeCell ref="AC5:AC6"/>
    <mergeCell ref="F4:N4"/>
    <mergeCell ref="P4:X4"/>
    <mergeCell ref="Y4:AC4"/>
    <mergeCell ref="AA5:AB5"/>
    <mergeCell ref="U5:U6"/>
    <mergeCell ref="V5:V6"/>
    <mergeCell ref="W5:W6"/>
    <mergeCell ref="X5:X6"/>
    <mergeCell ref="Y5:Y6"/>
    <mergeCell ref="P5:P6"/>
    <mergeCell ref="Q5:Q6"/>
    <mergeCell ref="R5:R6"/>
    <mergeCell ref="S5:S6"/>
    <mergeCell ref="T5:T6"/>
    <mergeCell ref="A2:AC2"/>
    <mergeCell ref="A4:A6"/>
    <mergeCell ref="B4:B6"/>
    <mergeCell ref="C4:C6"/>
    <mergeCell ref="D4:D6"/>
    <mergeCell ref="E4:E6"/>
    <mergeCell ref="F5:F6"/>
    <mergeCell ref="G5:G6"/>
    <mergeCell ref="H5:H6"/>
    <mergeCell ref="I5:I6"/>
    <mergeCell ref="J5:J6"/>
    <mergeCell ref="K5:K6"/>
    <mergeCell ref="L5:L6"/>
    <mergeCell ref="M5:M6"/>
    <mergeCell ref="N5:N6"/>
    <mergeCell ref="O4:O6"/>
  </mergeCells>
  <pageMargins left="0.39370078740157483" right="0.39370078740157483" top="0.39370078740157483" bottom="0.39370078740157483" header="0.39370078740157483" footer="0.39370078740157483"/>
  <pageSetup paperSize="8" scale="18"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vt:i4>
      </vt:variant>
      <vt:variant>
        <vt:lpstr>Įvardinti diapazonai</vt:lpstr>
      </vt:variant>
      <vt:variant>
        <vt:i4>1</vt:i4>
      </vt:variant>
    </vt:vector>
  </HeadingPairs>
  <TitlesOfParts>
    <vt:vector size="2" baseType="lpstr">
      <vt:lpstr>Planas</vt:lpstr>
      <vt:lpstr>Planas!Print_Titles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Ingrida Maksvytienė</dc:creator>
  <cp:lastModifiedBy>Ingrida Maksvytienė</cp:lastModifiedBy>
  <cp:lastPrinted>2020-05-28T11:38:19Z</cp:lastPrinted>
  <dcterms:created xsi:type="dcterms:W3CDTF">2020-05-20T05:27:20Z</dcterms:created>
  <dcterms:modified xsi:type="dcterms:W3CDTF">2020-05-28T11:41:05Z</dcterms:modified>
</cp:coreProperties>
</file>