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ai\2023\Sprendimai\0224\"/>
    </mc:Choice>
  </mc:AlternateContent>
  <xr:revisionPtr revIDLastSave="0" documentId="13_ncr:1_{95418543-DD32-4053-8792-7A576754C951}" xr6:coauthVersionLast="47" xr6:coauthVersionMax="47" xr10:uidLastSave="{00000000-0000-0000-0000-000000000000}"/>
  <bookViews>
    <workbookView xWindow="-120" yWindow="-120" windowWidth="29040" windowHeight="15840" xr2:uid="{F2AE3375-A6D1-4DF2-A028-F59BEEA7E4A4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1" l="1"/>
  <c r="G35" i="1"/>
  <c r="F35" i="1"/>
  <c r="F91" i="1" l="1"/>
  <c r="F97" i="1" l="1"/>
  <c r="F96" i="1"/>
  <c r="F93" i="1"/>
  <c r="G92" i="1"/>
  <c r="F92" i="1"/>
  <c r="F90" i="1"/>
  <c r="F89" i="1"/>
  <c r="F88" i="1"/>
  <c r="F87" i="1"/>
  <c r="F86" i="1"/>
  <c r="G85" i="1"/>
  <c r="F85" i="1"/>
  <c r="G84" i="1"/>
  <c r="F84" i="1"/>
  <c r="F83" i="1"/>
  <c r="G82" i="1"/>
  <c r="F82" i="1"/>
  <c r="G81" i="1"/>
  <c r="F81" i="1"/>
  <c r="G80" i="1"/>
  <c r="F80" i="1"/>
  <c r="F77" i="1"/>
  <c r="F76" i="1"/>
  <c r="F75" i="1"/>
  <c r="F72" i="1"/>
  <c r="G71" i="1"/>
  <c r="F71" i="1"/>
  <c r="F68" i="1"/>
  <c r="F67" i="1"/>
  <c r="F66" i="1"/>
  <c r="F65" i="1"/>
  <c r="F62" i="1"/>
  <c r="F61" i="1"/>
  <c r="F58" i="1"/>
  <c r="F57" i="1"/>
  <c r="F56" i="1"/>
  <c r="F55" i="1"/>
  <c r="F54" i="1"/>
  <c r="F51" i="1"/>
  <c r="F50" i="1"/>
  <c r="F49" i="1"/>
  <c r="G48" i="1"/>
  <c r="F48" i="1"/>
  <c r="F45" i="1"/>
  <c r="F44" i="1"/>
  <c r="F43" i="1"/>
  <c r="G42" i="1"/>
  <c r="F42" i="1"/>
  <c r="G41" i="1"/>
  <c r="F41" i="1"/>
  <c r="F40" i="1"/>
  <c r="G39" i="1"/>
  <c r="F39" i="1"/>
  <c r="F32" i="1"/>
  <c r="F31" i="1"/>
  <c r="G30" i="1"/>
  <c r="F30" i="1"/>
  <c r="G29" i="1"/>
  <c r="F29" i="1"/>
  <c r="F26" i="1"/>
  <c r="F25" i="1"/>
  <c r="F24" i="1"/>
  <c r="F23" i="1"/>
  <c r="F22" i="1"/>
  <c r="F19" i="1"/>
  <c r="F18" i="1"/>
  <c r="F17" i="1"/>
  <c r="F16" i="1"/>
  <c r="F15" i="1"/>
  <c r="F14" i="1"/>
  <c r="G13" i="1"/>
  <c r="F13" i="1"/>
  <c r="F10" i="1"/>
  <c r="F9" i="1"/>
  <c r="F8" i="1"/>
  <c r="G11" i="1" s="1"/>
  <c r="G69" i="1" l="1"/>
  <c r="G27" i="1"/>
  <c r="G78" i="1"/>
  <c r="G98" i="1"/>
  <c r="G63" i="1"/>
  <c r="G52" i="1"/>
  <c r="G20" i="1"/>
  <c r="G46" i="1"/>
  <c r="G94" i="1"/>
  <c r="G33" i="1"/>
  <c r="G37" i="1"/>
  <c r="G59" i="1"/>
  <c r="G73" i="1"/>
  <c r="G99" i="1" l="1"/>
  <c r="G105" i="1" s="1"/>
</calcChain>
</file>

<file path=xl/sharedStrings.xml><?xml version="1.0" encoding="utf-8"?>
<sst xmlns="http://schemas.openxmlformats.org/spreadsheetml/2006/main" count="201" uniqueCount="99">
  <si>
    <t>PATVIRTINTA</t>
  </si>
  <si>
    <t>Šakių rajono savivaldybės tarybos</t>
  </si>
  <si>
    <t>ŠAKIŲ RAJONO SAVIVALDYBĖS VIETINĖS REIKŠMĖS KELIŲ (GATVIŲ) TIESIMO, REKONSTRAVIMO, KAPITALINIO AR  PAPRASTOJO REMONTO DARBŲ 2023 – 2025 METŲ PRIORITETINIS OBJEKTŲ SĄRAŠAS</t>
  </si>
  <si>
    <t>Eil. Nr.</t>
  </si>
  <si>
    <t>Objektas 
(gatvės, kelio pavadinimas)</t>
  </si>
  <si>
    <r>
      <t>Preliminarus kiekis, m</t>
    </r>
    <r>
      <rPr>
        <b/>
        <vertAlign val="superscript"/>
        <sz val="11.5"/>
        <color theme="1"/>
        <rFont val="Times New Roman"/>
        <family val="1"/>
        <charset val="186"/>
      </rPr>
      <t>2</t>
    </r>
  </si>
  <si>
    <t>Preliminari kaina, tūkst. Eur</t>
  </si>
  <si>
    <t>Barzdų seniūnija</t>
  </si>
  <si>
    <t>Asfalto dangos atnaujinimas kelio Nr. B-II-32 Gražiškiai – Žardeliai atkarpoje (ties Žilių k.)</t>
  </si>
  <si>
    <t>papr. rem.</t>
  </si>
  <si>
    <t>Asfalto dangos įrengimas Baltrušių k. Lauko gatvėje Nr. Bal-2</t>
  </si>
  <si>
    <t>inž. pasl.</t>
  </si>
  <si>
    <t>kap. rem.</t>
  </si>
  <si>
    <t>Asfalto dangos įrengimas Barzdų gyvenvietės kelyje (Bažnyčios g.) Nr. B-III-33</t>
  </si>
  <si>
    <t>Iš viso:</t>
  </si>
  <si>
    <t>Gelgaudiškio seniūnija</t>
  </si>
  <si>
    <t>Asfalto dangos įrengimas Gelgaudiškio m. Nemuno gatvės Nr. Gel-14 atkarpoje ir Skaistakaimio k. Nemuno gatvės Nr. Ska-2 atkarpoje</t>
  </si>
  <si>
    <t>Asfalto dangos įrengimas Gelgaudiškio m. Miško gatvėje Nr. Gel-12</t>
  </si>
  <si>
    <t>Asfalto dangos įrengimas Gelgaudiškio m. Lauko gatvėje Nr. Gel-10</t>
  </si>
  <si>
    <t>Asfalto dangos įrengimas Gelgaudiškio m. Tylos gatvėje Nr. Gel-22</t>
  </si>
  <si>
    <t>Asfalto dangos įrengimas Gelgaudiškio m. Kranto gatvėje Nr. Gel-9</t>
  </si>
  <si>
    <t>Asfalto dangos įrengimas Daukantiškių k. Liepų gatvėje Nr. Dau-3</t>
  </si>
  <si>
    <t>Asfalto dangos įrengimas Gelgaudiškio m. Smėlio gatvėje Nr. Dau-6</t>
  </si>
  <si>
    <t>Griškabūdžio seniūnija</t>
  </si>
  <si>
    <t>Asfalto dangos  įrengimas Griškabūdžio mstl. Mokyklos gatvėje Nr. Gri-9</t>
  </si>
  <si>
    <t>inž. pasl. kap. rem.</t>
  </si>
  <si>
    <t>Asfalto dangos atnaujinimas Patašinės k. Alyvų gatvės Nr. Pat-1 atkarpoje</t>
  </si>
  <si>
    <t>Asfalto dangos atnaujinimas Patašinės k. Lauko gatvės Nr. Pat-3 atkarpoje</t>
  </si>
  <si>
    <t>Asfalto dangos įrengimas Griškabūdžio mstl. Draugystės gatvėje Nr. Gri-5</t>
  </si>
  <si>
    <t>Asfalto dangos atnaujinimas Griškabūdžio mstl. Ryto gatvėje Nr. Gri-15</t>
  </si>
  <si>
    <t>Kidulių seniūnija</t>
  </si>
  <si>
    <t>Asfalto dangos įrengimas Kaimelio k. Jaunimo gatvės Nr. Kai-2 atkarpoje</t>
  </si>
  <si>
    <t>Asfalto dangos įrengimas Bunikių k. Salos gatvės Nr. Bun-2 atkarpoje</t>
  </si>
  <si>
    <t>Asfalto dangos įrengimas Žygėnų k. Centrinėje gatvėje Nr. Žyg-1</t>
  </si>
  <si>
    <t>Asfalto dangos įrengimas Žygėnų k. Gandrų gatvėje Nr. Žyg-3</t>
  </si>
  <si>
    <t>Kriūkų seniūnija</t>
  </si>
  <si>
    <t>Asfalto dangos įrengimas Kriūkų k. Smėlio gatvėje Nr. Kri-3</t>
  </si>
  <si>
    <t>Kudirkos Naumiesčio seniūnija</t>
  </si>
  <si>
    <t>Asfalto dangos įrengimas Tarpučių k. Liepų gatvėje Nr. Tar-2</t>
  </si>
  <si>
    <t>Asfalto dangos įrengimas Kudirkos Naumiesčio m. Baltkalnio gatvėje Nr. Kna-1</t>
  </si>
  <si>
    <t>Lekėčių seniūnija</t>
  </si>
  <si>
    <t>Asfalto dangos įrengimas Mikytų k. J. Blažio gatvės Nr. Mik-1 atkarpoje</t>
  </si>
  <si>
    <t>Asfalto dangos įrengimas Lekėčių mstl. Pušyno gatvės Nr. Lek-8 atkarpoje</t>
  </si>
  <si>
    <t>Asfalto dangos atnaujinimas Lekėčių mstl. Kaštonų gatvės Nr. Lek-4 atkarpoje nuo Kaštonų g. iki Medžiotojų g.</t>
  </si>
  <si>
    <t>Asfalto dangos įrengimas Lekėčių mstl. Šilo gatvės Nr. Lek-11 atkarpoje</t>
  </si>
  <si>
    <t>Lukšių seniūnija</t>
  </si>
  <si>
    <t>Asfalto dangos atnaujinimas Lukšių mstl. Topolių gatvės Nr. Luk-17 atkarpoje (su pėsčiųjų juosta)</t>
  </si>
  <si>
    <t>Asfalto dangos atnaujinimas Lukšių mstl. Draugystės gatvės Nr. Luk-2 atkarpoje</t>
  </si>
  <si>
    <t>Asfalto dangos atnaujinimas Lukšių mstl. Vingio gatvėje Nr. Luk-19</t>
  </si>
  <si>
    <t>Asfalto dangos atnaujinimas Lukšių mstl. Pergalės gatvės Nr. Luk-9 atkarpoje</t>
  </si>
  <si>
    <t>Asfalto dangos atnaujinimas Lukšių mstl. Lygumų gatvės Nr. Luk-6 atkarpoje</t>
  </si>
  <si>
    <t>Plokščių seniūnija</t>
  </si>
  <si>
    <t>Asfalto dangos atnaujinimas Plokščių k. Bažnyčios gatvės Nr. Plo-2 atkarpoje</t>
  </si>
  <si>
    <t>Asfalto dangos atnaujinimas Plokščių k. Žaliakalnio gatvėje Nr. Plo-11</t>
  </si>
  <si>
    <t>Sintautų seniūnija</t>
  </si>
  <si>
    <t>Asfalto dangos įrengimas Sintautų mstl. Ievų gatvėje Nr. Sin-4</t>
  </si>
  <si>
    <t>Asfalto dangos įrengimas Veršių k. Lauko gatvėje Nr. Ver-4 ir Mokyklos gatvės Nr. Ver-5 atkarpoje</t>
  </si>
  <si>
    <t>Asfalto dangos atnaujinimas Veršių k. Mokyklos gatvės Nr. Ver-5 atkarpoje</t>
  </si>
  <si>
    <t>Asfalto dangos atnaujinimas ir įrengimas Užsienių k. P. Orintaitės gatvėje Nr. Užs-3</t>
  </si>
  <si>
    <t>Slavikų seniūnija</t>
  </si>
  <si>
    <t>Žvyro dangos atnaujinimas kelyje Nr. Sa-III-9 Būtviliškiai - Juškakaimiai</t>
  </si>
  <si>
    <t>Asfalto dangos įrengimas Slavikų k. Šešupės gatvėje Nr. Sla-6</t>
  </si>
  <si>
    <t>Sudargo seniūnija</t>
  </si>
  <si>
    <t>Žvyro dangos atnaujinimas Pervazninkų k. Kaštonų gatvės Nr. Per-2 atkarpoje</t>
  </si>
  <si>
    <t>Asfalto dangos atnaujinimas Burgaičių k. Piliakalnių gatvėje Nr. Bur-3</t>
  </si>
  <si>
    <t>Žvyro dangos atnaujinimas Rociškių k. Pajotijo gatvės Nr. Roc-2 atkarpoje</t>
  </si>
  <si>
    <t>Šakių seniūnija</t>
  </si>
  <si>
    <t>Asfalto dangos įrengimas Girėnų k. Ąžuolyno gatvėje Nr. Gir-2</t>
  </si>
  <si>
    <t>Asfalto dangos įrengimas Giedručių k. Gulbinų gatvės Nr. Gie-7 atkarpoje</t>
  </si>
  <si>
    <t>Asfalto dangos įrengimas Girėnų k. Ryto gatvėje Nr. Gir-12</t>
  </si>
  <si>
    <t>Asfalto dangos atnaujinimas Šakių m. J. Basanavičiaus gatvės Nr. Šak-10 atkarpoje nuo Šaulių g. iki J. Basanavičiaus g. 55</t>
  </si>
  <si>
    <t>Asfalto dangos įrengimas Giedručių k. Parko gatvėje Nr. Gie-10 ir Ateities gatvės Nr. Gie-2 atkarpoje</t>
  </si>
  <si>
    <t>Asfalto dangos atnaujinimas Giedručių k. Lauko gatvės Nr. Gie-8 atkarpoje</t>
  </si>
  <si>
    <t>Asfalto dangos atnaujinimas Išdagų k. Tuopų gatvėje Nr. Išd-7</t>
  </si>
  <si>
    <t>Asfalto dangos įrengimas Šakių m. J. Staugaičio gatvėje Nr. Šak-11</t>
  </si>
  <si>
    <t>Asfalto dangos atnaujinimas Gotlybiškių k. Mokyklos gatvėje Nr. Got-5</t>
  </si>
  <si>
    <t>Asfalto dangos įrengimas Giedručių k. Miško gatvės Nr. Gie-9 atkarpoje</t>
  </si>
  <si>
    <t>Asfalto dangos atnaujinimas Šakių m. Bažnyčios gatvės Nr. Šak-10 atkarpoje nuo Vasario 16-osios g. iki Vytauto g.</t>
  </si>
  <si>
    <t>Asfalto dangos atnaujinimas Šakių m. Nepriklausomybės gatvėje Nr. Šak-23</t>
  </si>
  <si>
    <t>Asfalto dangos įrengimas Giedručių k. Ūkininkų gatvėje Nr. Gie-13</t>
  </si>
  <si>
    <t>Asfalto dangos atnaujinimas Šakių m. Sodų gatvės Nr. Šak-35 atkarpoje</t>
  </si>
  <si>
    <t>Žvirgždaičių seniūnija</t>
  </si>
  <si>
    <t>Asfalto dangos atnaujinimas Žvirgždaičių mstl. Taikos gatvėje Nr. Žvi-5</t>
  </si>
  <si>
    <t>Asfalto dangos įrengimas Janukiškių k. Serbentų gatvės Nr. Jan-2 atkarpoje</t>
  </si>
  <si>
    <t>SUMA:</t>
  </si>
  <si>
    <t>Kitos veiklos</t>
  </si>
  <si>
    <t>Kelių inventorizacija</t>
  </si>
  <si>
    <t>-</t>
  </si>
  <si>
    <t>Techninė priežiūra, kokybės kontrolė</t>
  </si>
  <si>
    <t>Kelių priežiūra (duobių remontas, dulkėtumo mažinimas)</t>
  </si>
  <si>
    <t>Eismo saugumo priemonės</t>
  </si>
  <si>
    <t>Asfalto dangos įrengimas Žemosios Panemunės k. Kalno gatvėje Nr. Žpa-4 ir Jazminų gatvės Nr. Žpa-3 atkarpoje</t>
  </si>
  <si>
    <t>Asfalto dangos įrengimas Kudirkos Naumiesčio m. S. Nėries gatvėje Nr. Kna-9</t>
  </si>
  <si>
    <t>Asfalto dangos atnaujinimas Kudirkos Naumiesčio m. Vytauto gatvės Nr. Kna-18 atkarpoje ir V. Kudirkos gatvės Nr. Kna-15 atkarpoje</t>
  </si>
  <si>
    <t>Asfalto dangos įrengimas Kudirkos Naumiesčio m. Vilties gatvėje Nr. Kna-17</t>
  </si>
  <si>
    <t>Asfalto dangos įrengimas Kudirkos Naumiesčio m. P. Mašioto gatvės Nr. Kna-7 atkarpoje (link naujų kapinių)</t>
  </si>
  <si>
    <t>Asfalto dangos įrengimas Kudirkos Naumiesčio m. Kranto gatvėje Nr. Kna-6</t>
  </si>
  <si>
    <t>IŠ VISO LĖŠŲ:</t>
  </si>
  <si>
    <t>2023 m. vasario  24 d. sprendimu Nr. T-78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</si>
</sst>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.5"/>
      <color theme="1"/>
      <name val="Times New Roman"/>
      <family val="1"/>
      <charset val="186"/>
    </font>
    <font>
      <b/>
      <vertAlign val="superscript"/>
      <sz val="11.5"/>
      <color theme="1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sz val="12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" fontId="7" fillId="0" borderId="7" xfId="0" applyNumberFormat="1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4" fontId="4" fillId="0" borderId="16" xfId="0" applyNumberFormat="1" applyFont="1" applyBorder="1" applyAlignment="1">
      <alignment horizontal="center" vertical="center" wrapText="1"/>
    </xf>
    <xf numFmtId="4" fontId="4" fillId="0" borderId="17" xfId="0" applyNumberFormat="1" applyFont="1" applyBorder="1" applyAlignment="1">
      <alignment horizontal="center" vertical="center" wrapText="1"/>
    </xf>
    <xf numFmtId="4" fontId="6" fillId="3" borderId="21" xfId="0" applyNumberFormat="1" applyFont="1" applyFill="1" applyBorder="1" applyAlignment="1">
      <alignment horizontal="center" vertical="center" wrapText="1"/>
    </xf>
    <xf numFmtId="3" fontId="9" fillId="0" borderId="12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4" fontId="1" fillId="0" borderId="25" xfId="0" applyNumberFormat="1" applyFont="1" applyBorder="1" applyAlignment="1">
      <alignment horizontal="center" vertical="center" wrapText="1"/>
    </xf>
    <xf numFmtId="4" fontId="1" fillId="0" borderId="26" xfId="0" applyNumberFormat="1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4" fontId="4" fillId="0" borderId="26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4" fillId="0" borderId="25" xfId="0" applyNumberFormat="1" applyFont="1" applyBorder="1" applyAlignment="1">
      <alignment horizontal="center" vertical="center" wrapText="1"/>
    </xf>
    <xf numFmtId="4" fontId="9" fillId="0" borderId="26" xfId="0" applyNumberFormat="1" applyFont="1" applyBorder="1" applyAlignment="1">
      <alignment horizontal="center" vertical="center" wrapText="1"/>
    </xf>
    <xf numFmtId="3" fontId="1" fillId="0" borderId="12" xfId="0" applyNumberFormat="1" applyFont="1" applyBorder="1" applyAlignment="1">
      <alignment horizontal="center" vertical="center" wrapText="1"/>
    </xf>
    <xf numFmtId="4" fontId="6" fillId="4" borderId="30" xfId="0" applyNumberFormat="1" applyFont="1" applyFill="1" applyBorder="1" applyAlignment="1">
      <alignment horizontal="center" vertical="center" wrapText="1"/>
    </xf>
    <xf numFmtId="4" fontId="6" fillId="5" borderId="43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left" vertical="center" wrapText="1"/>
    </xf>
    <xf numFmtId="2" fontId="3" fillId="0" borderId="0" xfId="0" applyNumberFormat="1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center" vertical="center" wrapText="1"/>
    </xf>
    <xf numFmtId="4" fontId="5" fillId="0" borderId="15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left" vertical="center" wrapText="1"/>
    </xf>
    <xf numFmtId="4" fontId="9" fillId="0" borderId="13" xfId="0" applyNumberFormat="1" applyFont="1" applyBorder="1" applyAlignment="1">
      <alignment horizontal="left" vertical="center" wrapText="1"/>
    </xf>
    <xf numFmtId="4" fontId="1" fillId="0" borderId="13" xfId="0" applyNumberFormat="1" applyFont="1" applyBorder="1" applyAlignment="1">
      <alignment horizontal="left" vertical="center" wrapText="1"/>
    </xf>
    <xf numFmtId="4" fontId="6" fillId="5" borderId="40" xfId="0" applyNumberFormat="1" applyFont="1" applyFill="1" applyBorder="1" applyAlignment="1">
      <alignment horizontal="right" vertical="center" wrapText="1"/>
    </xf>
    <xf numFmtId="4" fontId="6" fillId="5" borderId="41" xfId="0" applyNumberFormat="1" applyFont="1" applyFill="1" applyBorder="1" applyAlignment="1">
      <alignment horizontal="right" vertical="center" wrapText="1"/>
    </xf>
    <xf numFmtId="4" fontId="6" fillId="5" borderId="42" xfId="0" applyNumberFormat="1" applyFont="1" applyFill="1" applyBorder="1" applyAlignment="1">
      <alignment horizontal="right" vertical="center" wrapText="1"/>
    </xf>
    <xf numFmtId="4" fontId="6" fillId="3" borderId="18" xfId="0" applyNumberFormat="1" applyFont="1" applyFill="1" applyBorder="1" applyAlignment="1">
      <alignment horizontal="right" vertical="center" wrapText="1"/>
    </xf>
    <xf numFmtId="4" fontId="6" fillId="3" borderId="19" xfId="0" applyNumberFormat="1" applyFont="1" applyFill="1" applyBorder="1" applyAlignment="1">
      <alignment horizontal="right" vertical="center" wrapText="1"/>
    </xf>
    <xf numFmtId="4" fontId="6" fillId="3" borderId="20" xfId="0" applyNumberFormat="1" applyFont="1" applyFill="1" applyBorder="1" applyAlignment="1">
      <alignment horizontal="right" vertical="center" wrapText="1"/>
    </xf>
    <xf numFmtId="4" fontId="6" fillId="2" borderId="22" xfId="0" applyNumberFormat="1" applyFont="1" applyFill="1" applyBorder="1" applyAlignment="1">
      <alignment horizontal="center" vertical="center" wrapText="1"/>
    </xf>
    <xf numFmtId="4" fontId="6" fillId="2" borderId="23" xfId="0" applyNumberFormat="1" applyFont="1" applyFill="1" applyBorder="1" applyAlignment="1">
      <alignment horizontal="center" vertical="center" wrapText="1"/>
    </xf>
    <xf numFmtId="4" fontId="6" fillId="2" borderId="24" xfId="0" applyNumberFormat="1" applyFont="1" applyFill="1" applyBorder="1" applyAlignment="1">
      <alignment horizontal="center" vertical="center" wrapText="1"/>
    </xf>
    <xf numFmtId="4" fontId="6" fillId="4" borderId="27" xfId="0" applyNumberFormat="1" applyFont="1" applyFill="1" applyBorder="1" applyAlignment="1">
      <alignment horizontal="right" vertical="center" wrapText="1"/>
    </xf>
    <xf numFmtId="4" fontId="6" fillId="4" borderId="28" xfId="0" applyNumberFormat="1" applyFont="1" applyFill="1" applyBorder="1" applyAlignment="1">
      <alignment horizontal="right" vertical="center" wrapText="1"/>
    </xf>
    <xf numFmtId="4" fontId="6" fillId="4" borderId="29" xfId="0" applyNumberFormat="1" applyFont="1" applyFill="1" applyBorder="1" applyAlignment="1">
      <alignment horizontal="right" vertical="center" wrapText="1"/>
    </xf>
    <xf numFmtId="4" fontId="9" fillId="0" borderId="31" xfId="0" applyNumberFormat="1" applyFont="1" applyBorder="1" applyAlignment="1">
      <alignment horizontal="center" vertical="center" wrapText="1"/>
    </xf>
    <xf numFmtId="4" fontId="9" fillId="0" borderId="32" xfId="0" applyNumberFormat="1" applyFont="1" applyBorder="1" applyAlignment="1">
      <alignment horizontal="center" vertical="center" wrapText="1"/>
    </xf>
    <xf numFmtId="4" fontId="9" fillId="0" borderId="33" xfId="0" applyNumberFormat="1" applyFont="1" applyBorder="1" applyAlignment="1">
      <alignment horizontal="center" vertical="center" wrapText="1"/>
    </xf>
    <xf numFmtId="4" fontId="9" fillId="0" borderId="35" xfId="0" applyNumberFormat="1" applyFont="1" applyBorder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" fontId="9" fillId="0" borderId="36" xfId="0" applyNumberFormat="1" applyFont="1" applyBorder="1" applyAlignment="1">
      <alignment horizontal="center" vertical="center" wrapText="1"/>
    </xf>
    <xf numFmtId="4" fontId="9" fillId="0" borderId="38" xfId="0" applyNumberFormat="1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39" xfId="0" applyNumberFormat="1" applyFont="1" applyBorder="1" applyAlignment="1">
      <alignment horizontal="center" vertical="center" wrapText="1"/>
    </xf>
    <xf numFmtId="4" fontId="9" fillId="0" borderId="34" xfId="0" applyNumberFormat="1" applyFont="1" applyBorder="1" applyAlignment="1">
      <alignment horizontal="center" vertical="center" wrapText="1"/>
    </xf>
    <xf numFmtId="4" fontId="9" fillId="0" borderId="37" xfId="0" applyNumberFormat="1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  <xf numFmtId="4" fontId="10" fillId="2" borderId="22" xfId="0" applyNumberFormat="1" applyFont="1" applyFill="1" applyBorder="1" applyAlignment="1">
      <alignment horizontal="center" vertical="center" wrapText="1"/>
    </xf>
    <xf numFmtId="4" fontId="10" fillId="2" borderId="23" xfId="0" applyNumberFormat="1" applyFont="1" applyFill="1" applyBorder="1" applyAlignment="1">
      <alignment horizontal="center" vertical="center" wrapText="1"/>
    </xf>
    <xf numFmtId="4" fontId="10" fillId="2" borderId="24" xfId="0" applyNumberFormat="1" applyFont="1" applyFill="1" applyBorder="1" applyAlignment="1">
      <alignment horizontal="center" vertical="center" wrapText="1"/>
    </xf>
    <xf numFmtId="4" fontId="6" fillId="2" borderId="9" xfId="0" applyNumberFormat="1" applyFont="1" applyFill="1" applyBorder="1" applyAlignment="1">
      <alignment horizontal="center" vertical="center" wrapText="1"/>
    </xf>
    <xf numFmtId="4" fontId="6" fillId="2" borderId="10" xfId="0" applyNumberFormat="1" applyFont="1" applyFill="1" applyBorder="1" applyAlignment="1">
      <alignment horizontal="center" vertical="center" wrapText="1"/>
    </xf>
    <xf numFmtId="4" fontId="6" fillId="2" borderId="11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left" vertical="center" wrapText="1"/>
    </xf>
    <xf numFmtId="2" fontId="6" fillId="0" borderId="0" xfId="0" applyNumberFormat="1" applyFont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9479C-2AF1-4282-B70A-9CD5B5D7B844}">
  <sheetPr>
    <pageSetUpPr fitToPage="1"/>
  </sheetPr>
  <dimension ref="A1:G108"/>
  <sheetViews>
    <sheetView tabSelected="1" workbookViewId="0">
      <pane ySplit="6" topLeftCell="A7" activePane="bottomLeft" state="frozen"/>
      <selection pane="bottomLeft" activeCell="M10" sqref="M10"/>
    </sheetView>
  </sheetViews>
  <sheetFormatPr defaultColWidth="9.140625" defaultRowHeight="15.75" x14ac:dyDescent="0.25"/>
  <cols>
    <col min="1" max="1" width="4.7109375" style="1" customWidth="1"/>
    <col min="2" max="2" width="45.7109375" style="2" customWidth="1"/>
    <col min="3" max="5" width="10.7109375" style="2" customWidth="1"/>
    <col min="6" max="6" width="15.7109375" style="2" customWidth="1"/>
    <col min="7" max="7" width="17.7109375" style="2" customWidth="1"/>
    <col min="8" max="16384" width="9.140625" style="2"/>
  </cols>
  <sheetData>
    <row r="1" spans="1:7" x14ac:dyDescent="0.25">
      <c r="B1" s="36"/>
      <c r="C1" s="37"/>
      <c r="D1" s="77" t="s">
        <v>0</v>
      </c>
      <c r="E1" s="77"/>
      <c r="F1" s="77"/>
      <c r="G1" s="77"/>
    </row>
    <row r="2" spans="1:7" x14ac:dyDescent="0.25">
      <c r="B2" s="36"/>
      <c r="C2" s="37"/>
      <c r="D2" s="77" t="s">
        <v>1</v>
      </c>
      <c r="E2" s="77"/>
      <c r="F2" s="77"/>
      <c r="G2" s="77"/>
    </row>
    <row r="3" spans="1:7" x14ac:dyDescent="0.25">
      <c r="B3" s="36"/>
      <c r="C3" s="37"/>
      <c r="D3" s="77" t="s">
        <v>98</v>
      </c>
      <c r="E3" s="77"/>
      <c r="F3" s="77"/>
      <c r="G3" s="77"/>
    </row>
    <row r="4" spans="1:7" x14ac:dyDescent="0.25">
      <c r="B4" s="38"/>
      <c r="C4" s="76"/>
      <c r="D4" s="76"/>
      <c r="E4" s="76"/>
      <c r="F4" s="76"/>
      <c r="G4" s="76"/>
    </row>
    <row r="5" spans="1:7" ht="39.950000000000003" customHeight="1" thickBot="1" x14ac:dyDescent="0.3">
      <c r="A5" s="78" t="s">
        <v>2</v>
      </c>
      <c r="B5" s="78"/>
      <c r="C5" s="78"/>
      <c r="D5" s="78"/>
      <c r="E5" s="78"/>
      <c r="F5" s="78"/>
      <c r="G5" s="78"/>
    </row>
    <row r="6" spans="1:7" ht="33" customHeight="1" thickTop="1" thickBot="1" x14ac:dyDescent="0.3">
      <c r="A6" s="3" t="s">
        <v>3</v>
      </c>
      <c r="B6" s="4" t="s">
        <v>4</v>
      </c>
      <c r="C6" s="5">
        <v>2023</v>
      </c>
      <c r="D6" s="6">
        <v>2024</v>
      </c>
      <c r="E6" s="7">
        <v>2025</v>
      </c>
      <c r="F6" s="8" t="s">
        <v>5</v>
      </c>
      <c r="G6" s="9" t="s">
        <v>6</v>
      </c>
    </row>
    <row r="7" spans="1:7" x14ac:dyDescent="0.25">
      <c r="A7" s="73" t="s">
        <v>7</v>
      </c>
      <c r="B7" s="74"/>
      <c r="C7" s="74"/>
      <c r="D7" s="74"/>
      <c r="E7" s="74"/>
      <c r="F7" s="74"/>
      <c r="G7" s="75"/>
    </row>
    <row r="8" spans="1:7" ht="31.5" x14ac:dyDescent="0.25">
      <c r="A8" s="10">
        <v>1</v>
      </c>
      <c r="B8" s="43" t="s">
        <v>8</v>
      </c>
      <c r="C8" s="11" t="s">
        <v>9</v>
      </c>
      <c r="D8" s="12"/>
      <c r="E8" s="13"/>
      <c r="F8" s="14">
        <f>326*4</f>
        <v>1304</v>
      </c>
      <c r="G8" s="15">
        <v>37.82</v>
      </c>
    </row>
    <row r="9" spans="1:7" ht="31.5" x14ac:dyDescent="0.25">
      <c r="A9" s="10">
        <v>2</v>
      </c>
      <c r="B9" s="43" t="s">
        <v>10</v>
      </c>
      <c r="C9" s="11"/>
      <c r="D9" s="12" t="s">
        <v>11</v>
      </c>
      <c r="E9" s="13" t="s">
        <v>12</v>
      </c>
      <c r="F9" s="14">
        <f>142*3</f>
        <v>426</v>
      </c>
      <c r="G9" s="15">
        <v>47.71</v>
      </c>
    </row>
    <row r="10" spans="1:7" ht="31.5" x14ac:dyDescent="0.25">
      <c r="A10" s="10">
        <v>3</v>
      </c>
      <c r="B10" s="43" t="s">
        <v>13</v>
      </c>
      <c r="C10" s="11"/>
      <c r="D10" s="12"/>
      <c r="E10" s="13" t="s">
        <v>11</v>
      </c>
      <c r="F10" s="14">
        <f>712*3</f>
        <v>2136</v>
      </c>
      <c r="G10" s="15">
        <v>239.23</v>
      </c>
    </row>
    <row r="11" spans="1:7" ht="15.75" customHeight="1" thickBot="1" x14ac:dyDescent="0.3">
      <c r="A11" s="49" t="s">
        <v>14</v>
      </c>
      <c r="B11" s="50"/>
      <c r="C11" s="50"/>
      <c r="D11" s="50"/>
      <c r="E11" s="50"/>
      <c r="F11" s="51"/>
      <c r="G11" s="16">
        <f>SUM(G8:G10)</f>
        <v>324.76</v>
      </c>
    </row>
    <row r="12" spans="1:7" x14ac:dyDescent="0.25">
      <c r="A12" s="52" t="s">
        <v>15</v>
      </c>
      <c r="B12" s="53"/>
      <c r="C12" s="53"/>
      <c r="D12" s="53"/>
      <c r="E12" s="53"/>
      <c r="F12" s="53"/>
      <c r="G12" s="54"/>
    </row>
    <row r="13" spans="1:7" ht="63" customHeight="1" x14ac:dyDescent="0.25">
      <c r="A13" s="17">
        <v>1</v>
      </c>
      <c r="B13" s="44" t="s">
        <v>16</v>
      </c>
      <c r="C13" s="18" t="s">
        <v>12</v>
      </c>
      <c r="D13" s="19" t="s">
        <v>12</v>
      </c>
      <c r="E13" s="20" t="s">
        <v>12</v>
      </c>
      <c r="F13" s="21">
        <f>(127*5)+(916*5)+(224*3.5)</f>
        <v>5999</v>
      </c>
      <c r="G13" s="15">
        <f>597.38281</f>
        <v>597.38280999999995</v>
      </c>
    </row>
    <row r="14" spans="1:7" ht="31.5" customHeight="1" x14ac:dyDescent="0.25">
      <c r="A14" s="17">
        <v>2</v>
      </c>
      <c r="B14" s="44" t="s">
        <v>17</v>
      </c>
      <c r="C14" s="18"/>
      <c r="D14" s="22" t="s">
        <v>12</v>
      </c>
      <c r="E14" s="20" t="s">
        <v>12</v>
      </c>
      <c r="F14" s="21">
        <f>(590*4.5)+(242*4.5)</f>
        <v>3744</v>
      </c>
      <c r="G14" s="15">
        <v>320.69600000000003</v>
      </c>
    </row>
    <row r="15" spans="1:7" ht="31.5" x14ac:dyDescent="0.25">
      <c r="A15" s="17">
        <v>3</v>
      </c>
      <c r="B15" s="43" t="s">
        <v>18</v>
      </c>
      <c r="C15" s="11" t="s">
        <v>11</v>
      </c>
      <c r="D15" s="22" t="s">
        <v>12</v>
      </c>
      <c r="E15" s="20" t="s">
        <v>12</v>
      </c>
      <c r="F15" s="14">
        <f>525*4</f>
        <v>2100</v>
      </c>
      <c r="G15" s="15">
        <v>242.2</v>
      </c>
    </row>
    <row r="16" spans="1:7" ht="31.5" x14ac:dyDescent="0.25">
      <c r="A16" s="17">
        <v>4</v>
      </c>
      <c r="B16" s="43" t="s">
        <v>19</v>
      </c>
      <c r="C16" s="11" t="s">
        <v>11</v>
      </c>
      <c r="D16" s="22" t="s">
        <v>12</v>
      </c>
      <c r="E16" s="23"/>
      <c r="F16" s="14">
        <f>322*4</f>
        <v>1288</v>
      </c>
      <c r="G16" s="15">
        <v>151.26</v>
      </c>
    </row>
    <row r="17" spans="1:7" ht="31.5" x14ac:dyDescent="0.25">
      <c r="A17" s="17">
        <v>5</v>
      </c>
      <c r="B17" s="43" t="s">
        <v>20</v>
      </c>
      <c r="C17" s="11" t="s">
        <v>11</v>
      </c>
      <c r="D17" s="12"/>
      <c r="E17" s="13"/>
      <c r="F17" s="14">
        <f>237*3</f>
        <v>711</v>
      </c>
      <c r="G17" s="15">
        <v>86.63</v>
      </c>
    </row>
    <row r="18" spans="1:7" ht="31.5" x14ac:dyDescent="0.25">
      <c r="A18" s="17">
        <v>6</v>
      </c>
      <c r="B18" s="43" t="s">
        <v>21</v>
      </c>
      <c r="C18" s="11" t="s">
        <v>11</v>
      </c>
      <c r="D18" s="12"/>
      <c r="E18" s="13"/>
      <c r="F18" s="14">
        <f>392*5</f>
        <v>1960</v>
      </c>
      <c r="G18" s="15">
        <v>226.52</v>
      </c>
    </row>
    <row r="19" spans="1:7" ht="31.5" x14ac:dyDescent="0.25">
      <c r="A19" s="17">
        <v>7</v>
      </c>
      <c r="B19" s="43" t="s">
        <v>22</v>
      </c>
      <c r="C19" s="11"/>
      <c r="D19" s="12" t="s">
        <v>11</v>
      </c>
      <c r="E19" s="13"/>
      <c r="F19" s="14">
        <f>247*5</f>
        <v>1235</v>
      </c>
      <c r="G19" s="15">
        <v>145.32</v>
      </c>
    </row>
    <row r="20" spans="1:7" ht="16.5" customHeight="1" thickBot="1" x14ac:dyDescent="0.3">
      <c r="A20" s="49" t="s">
        <v>14</v>
      </c>
      <c r="B20" s="50"/>
      <c r="C20" s="50"/>
      <c r="D20" s="50"/>
      <c r="E20" s="50"/>
      <c r="F20" s="51"/>
      <c r="G20" s="16">
        <f>SUM(G13:G19)</f>
        <v>1770.00881</v>
      </c>
    </row>
    <row r="21" spans="1:7" x14ac:dyDescent="0.25">
      <c r="A21" s="52" t="s">
        <v>23</v>
      </c>
      <c r="B21" s="53"/>
      <c r="C21" s="53"/>
      <c r="D21" s="53"/>
      <c r="E21" s="53"/>
      <c r="F21" s="53"/>
      <c r="G21" s="54"/>
    </row>
    <row r="22" spans="1:7" ht="31.5" x14ac:dyDescent="0.25">
      <c r="A22" s="17">
        <v>1</v>
      </c>
      <c r="B22" s="43" t="s">
        <v>24</v>
      </c>
      <c r="C22" s="11" t="s">
        <v>25</v>
      </c>
      <c r="D22" s="19"/>
      <c r="E22" s="24"/>
      <c r="F22" s="25">
        <f>213*3</f>
        <v>639</v>
      </c>
      <c r="G22" s="26">
        <v>71.569999999999993</v>
      </c>
    </row>
    <row r="23" spans="1:7" ht="31.5" x14ac:dyDescent="0.25">
      <c r="A23" s="17">
        <v>2</v>
      </c>
      <c r="B23" s="43" t="s">
        <v>26</v>
      </c>
      <c r="C23" s="27" t="s">
        <v>9</v>
      </c>
      <c r="D23" s="12"/>
      <c r="E23" s="13"/>
      <c r="F23" s="25">
        <f>105*4</f>
        <v>420</v>
      </c>
      <c r="G23" s="26">
        <v>12.18</v>
      </c>
    </row>
    <row r="24" spans="1:7" ht="31.5" x14ac:dyDescent="0.25">
      <c r="A24" s="17">
        <v>3</v>
      </c>
      <c r="B24" s="43" t="s">
        <v>27</v>
      </c>
      <c r="C24" s="27"/>
      <c r="D24" s="12" t="s">
        <v>9</v>
      </c>
      <c r="E24" s="28"/>
      <c r="F24" s="25">
        <f>50*4</f>
        <v>200</v>
      </c>
      <c r="G24" s="26">
        <v>5.8</v>
      </c>
    </row>
    <row r="25" spans="1:7" ht="31.5" x14ac:dyDescent="0.25">
      <c r="A25" s="17">
        <v>4</v>
      </c>
      <c r="B25" s="43" t="s">
        <v>28</v>
      </c>
      <c r="C25" s="27"/>
      <c r="D25" s="12" t="s">
        <v>25</v>
      </c>
      <c r="E25" s="20"/>
      <c r="F25" s="25">
        <f>333*4</f>
        <v>1332</v>
      </c>
      <c r="G25" s="26">
        <v>38.630000000000003</v>
      </c>
    </row>
    <row r="26" spans="1:7" ht="31.5" x14ac:dyDescent="0.25">
      <c r="A26" s="17">
        <v>5</v>
      </c>
      <c r="B26" s="43" t="s">
        <v>29</v>
      </c>
      <c r="C26" s="27"/>
      <c r="D26" s="12"/>
      <c r="E26" s="20" t="s">
        <v>9</v>
      </c>
      <c r="F26" s="25">
        <f>645*5</f>
        <v>3225</v>
      </c>
      <c r="G26" s="26">
        <v>93.53</v>
      </c>
    </row>
    <row r="27" spans="1:7" ht="16.5" customHeight="1" thickBot="1" x14ac:dyDescent="0.3">
      <c r="A27" s="49" t="s">
        <v>14</v>
      </c>
      <c r="B27" s="50"/>
      <c r="C27" s="50"/>
      <c r="D27" s="50"/>
      <c r="E27" s="50"/>
      <c r="F27" s="51"/>
      <c r="G27" s="16">
        <f>SUM(G22:G26)</f>
        <v>221.71</v>
      </c>
    </row>
    <row r="28" spans="1:7" x14ac:dyDescent="0.25">
      <c r="A28" s="52" t="s">
        <v>30</v>
      </c>
      <c r="B28" s="53"/>
      <c r="C28" s="53"/>
      <c r="D28" s="53"/>
      <c r="E28" s="53"/>
      <c r="F28" s="53"/>
      <c r="G28" s="54"/>
    </row>
    <row r="29" spans="1:7" ht="31.5" x14ac:dyDescent="0.25">
      <c r="A29" s="17">
        <v>1</v>
      </c>
      <c r="B29" s="44" t="s">
        <v>31</v>
      </c>
      <c r="C29" s="18" t="s">
        <v>12</v>
      </c>
      <c r="D29" s="22"/>
      <c r="E29" s="24"/>
      <c r="F29" s="25">
        <f>502*4</f>
        <v>2008</v>
      </c>
      <c r="G29" s="15">
        <f>199.482</f>
        <v>199.482</v>
      </c>
    </row>
    <row r="30" spans="1:7" ht="31.5" x14ac:dyDescent="0.25">
      <c r="A30" s="17">
        <v>2</v>
      </c>
      <c r="B30" s="44" t="s">
        <v>32</v>
      </c>
      <c r="C30" s="18" t="s">
        <v>12</v>
      </c>
      <c r="D30" s="22" t="s">
        <v>12</v>
      </c>
      <c r="E30" s="23"/>
      <c r="F30" s="25">
        <f>575*4</f>
        <v>2300</v>
      </c>
      <c r="G30" s="15">
        <f>170.994</f>
        <v>170.994</v>
      </c>
    </row>
    <row r="31" spans="1:7" ht="31.5" x14ac:dyDescent="0.25">
      <c r="A31" s="17">
        <v>3</v>
      </c>
      <c r="B31" s="44" t="s">
        <v>33</v>
      </c>
      <c r="C31" s="11" t="s">
        <v>11</v>
      </c>
      <c r="D31" s="22"/>
      <c r="E31" s="23" t="s">
        <v>12</v>
      </c>
      <c r="F31" s="25">
        <f>230*4</f>
        <v>920</v>
      </c>
      <c r="G31" s="26">
        <v>110.04</v>
      </c>
    </row>
    <row r="32" spans="1:7" ht="31.5" x14ac:dyDescent="0.25">
      <c r="A32" s="17">
        <v>4</v>
      </c>
      <c r="B32" s="44" t="s">
        <v>34</v>
      </c>
      <c r="C32" s="18"/>
      <c r="D32" s="12" t="s">
        <v>11</v>
      </c>
      <c r="E32" s="13"/>
      <c r="F32" s="21">
        <f>221*4</f>
        <v>884</v>
      </c>
      <c r="G32" s="26">
        <v>106.01</v>
      </c>
    </row>
    <row r="33" spans="1:7" ht="16.5" customHeight="1" thickBot="1" x14ac:dyDescent="0.3">
      <c r="A33" s="49" t="s">
        <v>14</v>
      </c>
      <c r="B33" s="50"/>
      <c r="C33" s="50"/>
      <c r="D33" s="50"/>
      <c r="E33" s="50"/>
      <c r="F33" s="51"/>
      <c r="G33" s="16">
        <f>SUM(G29:G32)</f>
        <v>586.52600000000007</v>
      </c>
    </row>
    <row r="34" spans="1:7" ht="15.75" customHeight="1" x14ac:dyDescent="0.25">
      <c r="A34" s="52" t="s">
        <v>35</v>
      </c>
      <c r="B34" s="53"/>
      <c r="C34" s="53"/>
      <c r="D34" s="53"/>
      <c r="E34" s="53"/>
      <c r="F34" s="53"/>
      <c r="G34" s="54"/>
    </row>
    <row r="35" spans="1:7" ht="31.5" x14ac:dyDescent="0.25">
      <c r="A35" s="17">
        <v>1</v>
      </c>
      <c r="B35" s="44" t="s">
        <v>36</v>
      </c>
      <c r="C35" s="27" t="s">
        <v>12</v>
      </c>
      <c r="D35" s="19" t="s">
        <v>12</v>
      </c>
      <c r="E35" s="20"/>
      <c r="F35" s="25">
        <f>518*4.5</f>
        <v>2331</v>
      </c>
      <c r="G35" s="42">
        <f>266.324</f>
        <v>266.32400000000001</v>
      </c>
    </row>
    <row r="36" spans="1:7" ht="47.25" x14ac:dyDescent="0.25">
      <c r="A36" s="17">
        <v>2</v>
      </c>
      <c r="B36" s="44" t="s">
        <v>91</v>
      </c>
      <c r="C36" s="27" t="s">
        <v>25</v>
      </c>
      <c r="D36" s="29" t="s">
        <v>12</v>
      </c>
      <c r="E36" s="20" t="s">
        <v>12</v>
      </c>
      <c r="F36" s="25">
        <f>(753*4)+(352*4)</f>
        <v>4420</v>
      </c>
      <c r="G36" s="26">
        <v>502.04</v>
      </c>
    </row>
    <row r="37" spans="1:7" ht="16.5" customHeight="1" thickBot="1" x14ac:dyDescent="0.3">
      <c r="A37" s="49" t="s">
        <v>14</v>
      </c>
      <c r="B37" s="50"/>
      <c r="C37" s="50"/>
      <c r="D37" s="50"/>
      <c r="E37" s="50"/>
      <c r="F37" s="51"/>
      <c r="G37" s="16">
        <f>SUM(G35:G36)</f>
        <v>768.36400000000003</v>
      </c>
    </row>
    <row r="38" spans="1:7" x14ac:dyDescent="0.25">
      <c r="A38" s="52" t="s">
        <v>37</v>
      </c>
      <c r="B38" s="53"/>
      <c r="C38" s="53"/>
      <c r="D38" s="53"/>
      <c r="E38" s="53"/>
      <c r="F38" s="53"/>
      <c r="G38" s="54"/>
    </row>
    <row r="39" spans="1:7" ht="31.5" x14ac:dyDescent="0.25">
      <c r="A39" s="17">
        <v>1</v>
      </c>
      <c r="B39" s="44" t="s">
        <v>92</v>
      </c>
      <c r="C39" s="18" t="s">
        <v>12</v>
      </c>
      <c r="D39" s="12"/>
      <c r="E39" s="13"/>
      <c r="F39" s="14">
        <f>(213*4)+(143*4)+(447*3.5)</f>
        <v>2988.5</v>
      </c>
      <c r="G39" s="15">
        <f>112.76</f>
        <v>112.76</v>
      </c>
    </row>
    <row r="40" spans="1:7" ht="47.25" x14ac:dyDescent="0.25">
      <c r="A40" s="17">
        <v>2</v>
      </c>
      <c r="B40" s="43" t="s">
        <v>93</v>
      </c>
      <c r="C40" s="11" t="s">
        <v>9</v>
      </c>
      <c r="D40" s="39"/>
      <c r="E40" s="13"/>
      <c r="F40" s="14">
        <f>(446+69+98)*6.5</f>
        <v>3984.5</v>
      </c>
      <c r="G40" s="26">
        <v>115.55</v>
      </c>
    </row>
    <row r="41" spans="1:7" ht="31.5" x14ac:dyDescent="0.25">
      <c r="A41" s="17">
        <v>3</v>
      </c>
      <c r="B41" s="43" t="s">
        <v>94</v>
      </c>
      <c r="C41" s="18" t="s">
        <v>12</v>
      </c>
      <c r="D41" s="22" t="s">
        <v>12</v>
      </c>
      <c r="E41" s="40"/>
      <c r="F41" s="14">
        <f>(241*3.5)+(442*3.5)</f>
        <v>2390.5</v>
      </c>
      <c r="G41" s="15">
        <f>294.782</f>
        <v>294.78199999999998</v>
      </c>
    </row>
    <row r="42" spans="1:7" ht="47.25" x14ac:dyDescent="0.25">
      <c r="A42" s="17">
        <v>4</v>
      </c>
      <c r="B42" s="44" t="s">
        <v>95</v>
      </c>
      <c r="C42" s="11"/>
      <c r="D42" s="12" t="s">
        <v>12</v>
      </c>
      <c r="E42" s="40"/>
      <c r="F42" s="14">
        <f>213*3.5</f>
        <v>745.5</v>
      </c>
      <c r="G42" s="15">
        <f>135.81</f>
        <v>135.81</v>
      </c>
    </row>
    <row r="43" spans="1:7" ht="31.5" x14ac:dyDescent="0.25">
      <c r="A43" s="17">
        <v>5</v>
      </c>
      <c r="B43" s="43" t="s">
        <v>96</v>
      </c>
      <c r="C43" s="11" t="s">
        <v>11</v>
      </c>
      <c r="D43" s="12"/>
      <c r="E43" s="13" t="s">
        <v>12</v>
      </c>
      <c r="F43" s="14">
        <f>494*4</f>
        <v>1976</v>
      </c>
      <c r="G43" s="26">
        <v>231.31</v>
      </c>
    </row>
    <row r="44" spans="1:7" ht="31.5" x14ac:dyDescent="0.25">
      <c r="A44" s="17">
        <v>6</v>
      </c>
      <c r="B44" s="43" t="s">
        <v>38</v>
      </c>
      <c r="C44" s="11" t="s">
        <v>11</v>
      </c>
      <c r="D44" s="12"/>
      <c r="E44" s="13"/>
      <c r="F44" s="14">
        <f>505*4</f>
        <v>2020</v>
      </c>
      <c r="G44" s="26">
        <v>233.24</v>
      </c>
    </row>
    <row r="45" spans="1:7" ht="31.5" x14ac:dyDescent="0.25">
      <c r="A45" s="17">
        <v>7</v>
      </c>
      <c r="B45" s="43" t="s">
        <v>39</v>
      </c>
      <c r="C45" s="11" t="s">
        <v>11</v>
      </c>
      <c r="D45" s="12" t="s">
        <v>11</v>
      </c>
      <c r="E45" s="13" t="s">
        <v>12</v>
      </c>
      <c r="F45" s="14">
        <f>1577*4</f>
        <v>6308</v>
      </c>
      <c r="G45" s="26">
        <v>713.5</v>
      </c>
    </row>
    <row r="46" spans="1:7" ht="16.5" customHeight="1" thickBot="1" x14ac:dyDescent="0.3">
      <c r="A46" s="49" t="s">
        <v>14</v>
      </c>
      <c r="B46" s="50"/>
      <c r="C46" s="50"/>
      <c r="D46" s="50"/>
      <c r="E46" s="50"/>
      <c r="F46" s="51"/>
      <c r="G46" s="16">
        <f>SUM(G39:G45)</f>
        <v>1836.952</v>
      </c>
    </row>
    <row r="47" spans="1:7" x14ac:dyDescent="0.25">
      <c r="A47" s="52" t="s">
        <v>40</v>
      </c>
      <c r="B47" s="53"/>
      <c r="C47" s="53"/>
      <c r="D47" s="53"/>
      <c r="E47" s="53"/>
      <c r="F47" s="53"/>
      <c r="G47" s="54"/>
    </row>
    <row r="48" spans="1:7" ht="31.5" x14ac:dyDescent="0.25">
      <c r="A48" s="17">
        <v>1</v>
      </c>
      <c r="B48" s="44" t="s">
        <v>41</v>
      </c>
      <c r="C48" s="11" t="s">
        <v>25</v>
      </c>
      <c r="D48" s="19"/>
      <c r="E48" s="24"/>
      <c r="F48" s="25">
        <f>190*3.5</f>
        <v>665</v>
      </c>
      <c r="G48" s="15">
        <f>109</f>
        <v>109</v>
      </c>
    </row>
    <row r="49" spans="1:7" ht="31.5" x14ac:dyDescent="0.25">
      <c r="A49" s="17">
        <v>2</v>
      </c>
      <c r="B49" s="44" t="s">
        <v>42</v>
      </c>
      <c r="C49" s="27" t="s">
        <v>11</v>
      </c>
      <c r="D49" s="30" t="s">
        <v>12</v>
      </c>
      <c r="E49" s="20"/>
      <c r="F49" s="25">
        <f>235*4</f>
        <v>940</v>
      </c>
      <c r="G49" s="26">
        <v>112.28</v>
      </c>
    </row>
    <row r="50" spans="1:7" ht="47.25" x14ac:dyDescent="0.25">
      <c r="A50" s="17">
        <v>3</v>
      </c>
      <c r="B50" s="44" t="s">
        <v>43</v>
      </c>
      <c r="C50" s="27" t="s">
        <v>9</v>
      </c>
      <c r="D50" s="30"/>
      <c r="E50" s="20"/>
      <c r="F50" s="25">
        <f>174*3.5</f>
        <v>609</v>
      </c>
      <c r="G50" s="26">
        <v>24.66</v>
      </c>
    </row>
    <row r="51" spans="1:7" ht="31.5" x14ac:dyDescent="0.25">
      <c r="A51" s="17">
        <v>4</v>
      </c>
      <c r="B51" s="43" t="s">
        <v>44</v>
      </c>
      <c r="C51" s="11" t="s">
        <v>11</v>
      </c>
      <c r="D51" s="30" t="s">
        <v>12</v>
      </c>
      <c r="E51" s="13" t="s">
        <v>12</v>
      </c>
      <c r="F51" s="14">
        <f>268*4</f>
        <v>1072</v>
      </c>
      <c r="G51" s="15">
        <v>127.06</v>
      </c>
    </row>
    <row r="52" spans="1:7" ht="16.5" customHeight="1" thickBot="1" x14ac:dyDescent="0.3">
      <c r="A52" s="49" t="s">
        <v>14</v>
      </c>
      <c r="B52" s="50"/>
      <c r="C52" s="50"/>
      <c r="D52" s="50"/>
      <c r="E52" s="50"/>
      <c r="F52" s="51"/>
      <c r="G52" s="16">
        <f>SUM(G48:G51)</f>
        <v>373</v>
      </c>
    </row>
    <row r="53" spans="1:7" x14ac:dyDescent="0.25">
      <c r="A53" s="52" t="s">
        <v>45</v>
      </c>
      <c r="B53" s="53"/>
      <c r="C53" s="53"/>
      <c r="D53" s="53"/>
      <c r="E53" s="53"/>
      <c r="F53" s="53"/>
      <c r="G53" s="54"/>
    </row>
    <row r="54" spans="1:7" ht="31.5" x14ac:dyDescent="0.25">
      <c r="A54" s="17">
        <v>1</v>
      </c>
      <c r="B54" s="44" t="s">
        <v>46</v>
      </c>
      <c r="C54" s="11" t="s">
        <v>9</v>
      </c>
      <c r="D54" s="29"/>
      <c r="E54" s="24"/>
      <c r="F54" s="25">
        <f>156*5</f>
        <v>780</v>
      </c>
      <c r="G54" s="15">
        <v>8</v>
      </c>
    </row>
    <row r="55" spans="1:7" ht="31.5" x14ac:dyDescent="0.25">
      <c r="A55" s="17">
        <v>2</v>
      </c>
      <c r="B55" s="44" t="s">
        <v>47</v>
      </c>
      <c r="C55" s="11" t="s">
        <v>9</v>
      </c>
      <c r="D55" s="12"/>
      <c r="E55" s="13"/>
      <c r="F55" s="25">
        <f>1760*6</f>
        <v>10560</v>
      </c>
      <c r="G55" s="15">
        <v>191.5</v>
      </c>
    </row>
    <row r="56" spans="1:7" ht="31.5" x14ac:dyDescent="0.25">
      <c r="A56" s="17">
        <v>3</v>
      </c>
      <c r="B56" s="44" t="s">
        <v>48</v>
      </c>
      <c r="C56" s="11"/>
      <c r="D56" s="29" t="s">
        <v>9</v>
      </c>
      <c r="E56" s="31"/>
      <c r="F56" s="25">
        <f>581*5</f>
        <v>2905</v>
      </c>
      <c r="G56" s="26">
        <v>84.25</v>
      </c>
    </row>
    <row r="57" spans="1:7" ht="31.5" x14ac:dyDescent="0.25">
      <c r="A57" s="17">
        <v>4</v>
      </c>
      <c r="B57" s="44" t="s">
        <v>49</v>
      </c>
      <c r="C57" s="27"/>
      <c r="D57" s="12" t="s">
        <v>9</v>
      </c>
      <c r="E57" s="28"/>
      <c r="F57" s="25">
        <f>231*5</f>
        <v>1155</v>
      </c>
      <c r="G57" s="26">
        <v>33.5</v>
      </c>
    </row>
    <row r="58" spans="1:7" ht="31.5" x14ac:dyDescent="0.25">
      <c r="A58" s="17">
        <v>5</v>
      </c>
      <c r="B58" s="44" t="s">
        <v>50</v>
      </c>
      <c r="C58" s="27"/>
      <c r="D58" s="12"/>
      <c r="E58" s="28" t="s">
        <v>9</v>
      </c>
      <c r="F58" s="25">
        <f>505*5</f>
        <v>2525</v>
      </c>
      <c r="G58" s="26">
        <v>73.23</v>
      </c>
    </row>
    <row r="59" spans="1:7" ht="16.5" customHeight="1" thickBot="1" x14ac:dyDescent="0.3">
      <c r="A59" s="49" t="s">
        <v>14</v>
      </c>
      <c r="B59" s="50"/>
      <c r="C59" s="50"/>
      <c r="D59" s="50"/>
      <c r="E59" s="50"/>
      <c r="F59" s="51"/>
      <c r="G59" s="16">
        <f>SUM(G54:G58)</f>
        <v>390.48</v>
      </c>
    </row>
    <row r="60" spans="1:7" x14ac:dyDescent="0.25">
      <c r="A60" s="52" t="s">
        <v>51</v>
      </c>
      <c r="B60" s="53"/>
      <c r="C60" s="53"/>
      <c r="D60" s="53"/>
      <c r="E60" s="53"/>
      <c r="F60" s="53"/>
      <c r="G60" s="54"/>
    </row>
    <row r="61" spans="1:7" ht="31.5" customHeight="1" x14ac:dyDescent="0.25">
      <c r="A61" s="17">
        <v>1</v>
      </c>
      <c r="B61" s="44" t="s">
        <v>52</v>
      </c>
      <c r="C61" s="27" t="s">
        <v>9</v>
      </c>
      <c r="D61" s="12" t="s">
        <v>9</v>
      </c>
      <c r="E61" s="28" t="s">
        <v>9</v>
      </c>
      <c r="F61" s="21">
        <f>1600*5</f>
        <v>8000</v>
      </c>
      <c r="G61" s="26">
        <v>232</v>
      </c>
    </row>
    <row r="62" spans="1:7" ht="31.5" customHeight="1" x14ac:dyDescent="0.25">
      <c r="A62" s="17">
        <v>2</v>
      </c>
      <c r="B62" s="45" t="s">
        <v>53</v>
      </c>
      <c r="C62" s="18"/>
      <c r="D62" s="22" t="s">
        <v>9</v>
      </c>
      <c r="E62" s="13"/>
      <c r="F62" s="21">
        <f>200*4</f>
        <v>800</v>
      </c>
      <c r="G62" s="26">
        <v>23.2</v>
      </c>
    </row>
    <row r="63" spans="1:7" ht="16.5" customHeight="1" thickBot="1" x14ac:dyDescent="0.3">
      <c r="A63" s="49" t="s">
        <v>14</v>
      </c>
      <c r="B63" s="50"/>
      <c r="C63" s="50"/>
      <c r="D63" s="50"/>
      <c r="E63" s="50"/>
      <c r="F63" s="51"/>
      <c r="G63" s="16">
        <f>SUM(G61:G62)</f>
        <v>255.2</v>
      </c>
    </row>
    <row r="64" spans="1:7" x14ac:dyDescent="0.25">
      <c r="A64" s="52" t="s">
        <v>54</v>
      </c>
      <c r="B64" s="53"/>
      <c r="C64" s="53"/>
      <c r="D64" s="53"/>
      <c r="E64" s="53"/>
      <c r="F64" s="53"/>
      <c r="G64" s="54"/>
    </row>
    <row r="65" spans="1:7" ht="31.5" x14ac:dyDescent="0.25">
      <c r="A65" s="17">
        <v>1</v>
      </c>
      <c r="B65" s="43" t="s">
        <v>55</v>
      </c>
      <c r="C65" s="11" t="s">
        <v>25</v>
      </c>
      <c r="D65" s="19"/>
      <c r="E65" s="24"/>
      <c r="F65" s="25">
        <f>210*4</f>
        <v>840</v>
      </c>
      <c r="G65" s="15">
        <v>96.08</v>
      </c>
    </row>
    <row r="66" spans="1:7" ht="47.25" x14ac:dyDescent="0.25">
      <c r="A66" s="17">
        <v>2</v>
      </c>
      <c r="B66" s="44" t="s">
        <v>56</v>
      </c>
      <c r="C66" s="11" t="s">
        <v>11</v>
      </c>
      <c r="D66" s="30"/>
      <c r="E66" s="20" t="s">
        <v>12</v>
      </c>
      <c r="F66" s="14">
        <f>(250+135)*5</f>
        <v>1925</v>
      </c>
      <c r="G66" s="26">
        <v>222.6</v>
      </c>
    </row>
    <row r="67" spans="1:7" ht="31.5" x14ac:dyDescent="0.25">
      <c r="A67" s="17">
        <v>3</v>
      </c>
      <c r="B67" s="44" t="s">
        <v>57</v>
      </c>
      <c r="C67" s="11"/>
      <c r="D67" s="12"/>
      <c r="E67" s="20" t="s">
        <v>9</v>
      </c>
      <c r="F67" s="14">
        <f>237*5</f>
        <v>1185</v>
      </c>
      <c r="G67" s="26">
        <v>34.369999999999997</v>
      </c>
    </row>
    <row r="68" spans="1:7" ht="31.5" x14ac:dyDescent="0.25">
      <c r="A68" s="17">
        <v>4</v>
      </c>
      <c r="B68" s="44" t="s">
        <v>58</v>
      </c>
      <c r="C68" s="11"/>
      <c r="D68" s="30" t="s">
        <v>11</v>
      </c>
      <c r="E68" s="20"/>
      <c r="F68" s="14">
        <f>237*5</f>
        <v>1185</v>
      </c>
      <c r="G68" s="26">
        <v>214.59</v>
      </c>
    </row>
    <row r="69" spans="1:7" ht="16.5" customHeight="1" thickBot="1" x14ac:dyDescent="0.3">
      <c r="A69" s="49" t="s">
        <v>14</v>
      </c>
      <c r="B69" s="50"/>
      <c r="C69" s="50"/>
      <c r="D69" s="50"/>
      <c r="E69" s="50"/>
      <c r="F69" s="51"/>
      <c r="G69" s="16">
        <f>SUM(G65:G68)</f>
        <v>567.64</v>
      </c>
    </row>
    <row r="70" spans="1:7" x14ac:dyDescent="0.25">
      <c r="A70" s="52" t="s">
        <v>59</v>
      </c>
      <c r="B70" s="53"/>
      <c r="C70" s="53"/>
      <c r="D70" s="53"/>
      <c r="E70" s="53"/>
      <c r="F70" s="53"/>
      <c r="G70" s="54"/>
    </row>
    <row r="71" spans="1:7" ht="31.5" x14ac:dyDescent="0.25">
      <c r="A71" s="17">
        <v>1</v>
      </c>
      <c r="B71" s="44" t="s">
        <v>60</v>
      </c>
      <c r="C71" s="11" t="s">
        <v>9</v>
      </c>
      <c r="D71" s="12" t="s">
        <v>9</v>
      </c>
      <c r="E71" s="41"/>
      <c r="F71" s="14">
        <f>1470*7</f>
        <v>10290</v>
      </c>
      <c r="G71" s="15">
        <f>50</f>
        <v>50</v>
      </c>
    </row>
    <row r="72" spans="1:7" ht="31.5" x14ac:dyDescent="0.25">
      <c r="A72" s="17">
        <v>2</v>
      </c>
      <c r="B72" s="44" t="s">
        <v>61</v>
      </c>
      <c r="C72" s="11"/>
      <c r="D72" s="30"/>
      <c r="E72" s="20" t="s">
        <v>11</v>
      </c>
      <c r="F72" s="14">
        <f>510*5</f>
        <v>2550</v>
      </c>
      <c r="G72" s="26">
        <v>292.60000000000002</v>
      </c>
    </row>
    <row r="73" spans="1:7" ht="16.5" customHeight="1" thickBot="1" x14ac:dyDescent="0.3">
      <c r="A73" s="49" t="s">
        <v>14</v>
      </c>
      <c r="B73" s="50"/>
      <c r="C73" s="50"/>
      <c r="D73" s="50"/>
      <c r="E73" s="50"/>
      <c r="F73" s="51"/>
      <c r="G73" s="16">
        <f>SUM(G71:G72)</f>
        <v>342.6</v>
      </c>
    </row>
    <row r="74" spans="1:7" x14ac:dyDescent="0.25">
      <c r="A74" s="70" t="s">
        <v>62</v>
      </c>
      <c r="B74" s="71"/>
      <c r="C74" s="71"/>
      <c r="D74" s="71"/>
      <c r="E74" s="71"/>
      <c r="F74" s="71"/>
      <c r="G74" s="72"/>
    </row>
    <row r="75" spans="1:7" ht="31.5" x14ac:dyDescent="0.25">
      <c r="A75" s="17">
        <v>1</v>
      </c>
      <c r="B75" s="44" t="s">
        <v>63</v>
      </c>
      <c r="C75" s="27" t="s">
        <v>9</v>
      </c>
      <c r="D75" s="12" t="s">
        <v>9</v>
      </c>
      <c r="E75" s="13"/>
      <c r="F75" s="25">
        <f>1450*5</f>
        <v>7250</v>
      </c>
      <c r="G75" s="15">
        <v>79.75</v>
      </c>
    </row>
    <row r="76" spans="1:7" ht="31.5" x14ac:dyDescent="0.25">
      <c r="A76" s="17">
        <v>2</v>
      </c>
      <c r="B76" s="44" t="s">
        <v>64</v>
      </c>
      <c r="C76" s="18"/>
      <c r="D76" s="29" t="s">
        <v>9</v>
      </c>
      <c r="E76" s="24" t="s">
        <v>9</v>
      </c>
      <c r="F76" s="25">
        <f>574*5</f>
        <v>2870</v>
      </c>
      <c r="G76" s="15">
        <v>83.23</v>
      </c>
    </row>
    <row r="77" spans="1:7" ht="31.5" x14ac:dyDescent="0.25">
      <c r="A77" s="17">
        <v>3</v>
      </c>
      <c r="B77" s="44" t="s">
        <v>65</v>
      </c>
      <c r="C77" s="27"/>
      <c r="D77" s="12"/>
      <c r="E77" s="24" t="s">
        <v>9</v>
      </c>
      <c r="F77" s="25">
        <f>222*3</f>
        <v>666</v>
      </c>
      <c r="G77" s="15">
        <v>7.33</v>
      </c>
    </row>
    <row r="78" spans="1:7" ht="16.5" customHeight="1" thickBot="1" x14ac:dyDescent="0.3">
      <c r="A78" s="49" t="s">
        <v>14</v>
      </c>
      <c r="B78" s="50"/>
      <c r="C78" s="50"/>
      <c r="D78" s="50"/>
      <c r="E78" s="50"/>
      <c r="F78" s="51"/>
      <c r="G78" s="16">
        <f>SUM(G75:G77)</f>
        <v>170.31000000000003</v>
      </c>
    </row>
    <row r="79" spans="1:7" x14ac:dyDescent="0.25">
      <c r="A79" s="52" t="s">
        <v>66</v>
      </c>
      <c r="B79" s="53"/>
      <c r="C79" s="53"/>
      <c r="D79" s="53"/>
      <c r="E79" s="53"/>
      <c r="F79" s="53"/>
      <c r="G79" s="54"/>
    </row>
    <row r="80" spans="1:7" ht="31.5" x14ac:dyDescent="0.25">
      <c r="A80" s="17">
        <v>1</v>
      </c>
      <c r="B80" s="43" t="s">
        <v>67</v>
      </c>
      <c r="C80" s="18" t="s">
        <v>12</v>
      </c>
      <c r="D80" s="12"/>
      <c r="E80" s="13"/>
      <c r="F80" s="14">
        <f>440*4</f>
        <v>1760</v>
      </c>
      <c r="G80" s="15">
        <f>110.38</f>
        <v>110.38</v>
      </c>
    </row>
    <row r="81" spans="1:7" ht="31.5" x14ac:dyDescent="0.25">
      <c r="A81" s="17">
        <v>2</v>
      </c>
      <c r="B81" s="43" t="s">
        <v>68</v>
      </c>
      <c r="C81" s="11" t="s">
        <v>25</v>
      </c>
      <c r="D81" s="19"/>
      <c r="E81" s="13"/>
      <c r="F81" s="2">
        <f>346*5</f>
        <v>1730</v>
      </c>
      <c r="G81" s="15">
        <f>217.35+(2+7.5)</f>
        <v>226.85</v>
      </c>
    </row>
    <row r="82" spans="1:7" ht="31.5" x14ac:dyDescent="0.25">
      <c r="A82" s="17">
        <v>3</v>
      </c>
      <c r="B82" s="43" t="s">
        <v>69</v>
      </c>
      <c r="C82" s="11" t="s">
        <v>12</v>
      </c>
      <c r="D82" s="19"/>
      <c r="E82" s="13"/>
      <c r="F82" s="14">
        <f>388.5*4</f>
        <v>1554</v>
      </c>
      <c r="G82" s="15">
        <f>146.55641</f>
        <v>146.55641</v>
      </c>
    </row>
    <row r="83" spans="1:7" ht="47.25" x14ac:dyDescent="0.25">
      <c r="A83" s="17">
        <v>4</v>
      </c>
      <c r="B83" s="43" t="s">
        <v>70</v>
      </c>
      <c r="C83" s="11" t="s">
        <v>9</v>
      </c>
      <c r="D83" s="12"/>
      <c r="E83" s="13"/>
      <c r="F83" s="14">
        <f>814*6.5</f>
        <v>5291</v>
      </c>
      <c r="G83" s="26">
        <v>153.44</v>
      </c>
    </row>
    <row r="84" spans="1:7" ht="47.25" x14ac:dyDescent="0.25">
      <c r="A84" s="17">
        <v>5</v>
      </c>
      <c r="B84" s="43" t="s">
        <v>71</v>
      </c>
      <c r="C84" s="11" t="s">
        <v>12</v>
      </c>
      <c r="D84" s="12"/>
      <c r="E84" s="13"/>
      <c r="F84" s="14">
        <f>(385*3.5)+(120*3.5)</f>
        <v>1767.5</v>
      </c>
      <c r="G84" s="15">
        <f>337.36+(2.8+0.9)</f>
        <v>341.06</v>
      </c>
    </row>
    <row r="85" spans="1:7" ht="31.5" x14ac:dyDescent="0.25">
      <c r="A85" s="17">
        <v>6</v>
      </c>
      <c r="B85" s="43" t="s">
        <v>72</v>
      </c>
      <c r="C85" s="11" t="s">
        <v>12</v>
      </c>
      <c r="D85" s="12"/>
      <c r="E85" s="28"/>
      <c r="F85" s="14">
        <f>130*3.5</f>
        <v>455</v>
      </c>
      <c r="G85" s="26">
        <f>57.894</f>
        <v>57.893999999999998</v>
      </c>
    </row>
    <row r="86" spans="1:7" ht="31.5" x14ac:dyDescent="0.25">
      <c r="A86" s="17">
        <v>7</v>
      </c>
      <c r="B86" s="43" t="s">
        <v>73</v>
      </c>
      <c r="C86" s="11" t="s">
        <v>9</v>
      </c>
      <c r="D86" s="12"/>
      <c r="E86" s="28"/>
      <c r="F86" s="14">
        <f>756*6</f>
        <v>4536</v>
      </c>
      <c r="G86" s="26">
        <v>131.54</v>
      </c>
    </row>
    <row r="87" spans="1:7" ht="31.5" x14ac:dyDescent="0.25">
      <c r="A87" s="17">
        <v>8</v>
      </c>
      <c r="B87" s="43" t="s">
        <v>74</v>
      </c>
      <c r="C87" s="11" t="s">
        <v>11</v>
      </c>
      <c r="D87" s="19" t="s">
        <v>12</v>
      </c>
      <c r="E87" s="20"/>
      <c r="F87" s="14">
        <f>260*4</f>
        <v>1040</v>
      </c>
      <c r="G87" s="26">
        <v>123.48</v>
      </c>
    </row>
    <row r="88" spans="1:7" ht="31.5" x14ac:dyDescent="0.25">
      <c r="A88" s="17">
        <v>9</v>
      </c>
      <c r="B88" s="43" t="s">
        <v>75</v>
      </c>
      <c r="C88" s="11"/>
      <c r="D88" s="12" t="s">
        <v>9</v>
      </c>
      <c r="E88" s="13"/>
      <c r="F88" s="14">
        <f>834*5</f>
        <v>4170</v>
      </c>
      <c r="G88" s="26">
        <v>120.93</v>
      </c>
    </row>
    <row r="89" spans="1:7" ht="31.5" x14ac:dyDescent="0.25">
      <c r="A89" s="17">
        <v>10</v>
      </c>
      <c r="B89" s="44" t="s">
        <v>76</v>
      </c>
      <c r="C89" s="27"/>
      <c r="D89" s="19" t="s">
        <v>12</v>
      </c>
      <c r="E89" s="20"/>
      <c r="F89" s="25">
        <f>1443*4</f>
        <v>5772</v>
      </c>
      <c r="G89" s="42">
        <v>471.51</v>
      </c>
    </row>
    <row r="90" spans="1:7" ht="47.25" x14ac:dyDescent="0.25">
      <c r="A90" s="17">
        <v>11</v>
      </c>
      <c r="B90" s="44" t="s">
        <v>77</v>
      </c>
      <c r="C90" s="27"/>
      <c r="D90" s="19" t="s">
        <v>9</v>
      </c>
      <c r="E90" s="20"/>
      <c r="F90" s="25">
        <f>375*7</f>
        <v>2625</v>
      </c>
      <c r="G90" s="26">
        <v>76.13</v>
      </c>
    </row>
    <row r="91" spans="1:7" ht="31.5" x14ac:dyDescent="0.25">
      <c r="A91" s="17">
        <v>12</v>
      </c>
      <c r="B91" s="44" t="s">
        <v>78</v>
      </c>
      <c r="C91" s="27"/>
      <c r="D91" s="19" t="s">
        <v>9</v>
      </c>
      <c r="E91" s="20"/>
      <c r="F91" s="25">
        <f>381*5</f>
        <v>1905</v>
      </c>
      <c r="G91" s="26">
        <v>55.25</v>
      </c>
    </row>
    <row r="92" spans="1:7" ht="31.5" x14ac:dyDescent="0.25">
      <c r="A92" s="17">
        <v>13</v>
      </c>
      <c r="B92" s="43" t="s">
        <v>79</v>
      </c>
      <c r="C92" s="11"/>
      <c r="D92" s="19"/>
      <c r="E92" s="20" t="s">
        <v>12</v>
      </c>
      <c r="F92" s="14">
        <f>1517*6</f>
        <v>9102</v>
      </c>
      <c r="G92" s="26">
        <f>893.867</f>
        <v>893.86699999999996</v>
      </c>
    </row>
    <row r="93" spans="1:7" ht="31.5" x14ac:dyDescent="0.25">
      <c r="A93" s="17">
        <v>14</v>
      </c>
      <c r="B93" s="44" t="s">
        <v>80</v>
      </c>
      <c r="C93" s="27"/>
      <c r="D93" s="19"/>
      <c r="E93" s="20" t="s">
        <v>9</v>
      </c>
      <c r="F93" s="25">
        <f>620*6</f>
        <v>3720</v>
      </c>
      <c r="G93" s="26">
        <v>107.88</v>
      </c>
    </row>
    <row r="94" spans="1:7" ht="16.5" customHeight="1" thickBot="1" x14ac:dyDescent="0.3">
      <c r="A94" s="49" t="s">
        <v>14</v>
      </c>
      <c r="B94" s="50"/>
      <c r="C94" s="50"/>
      <c r="D94" s="50"/>
      <c r="E94" s="50"/>
      <c r="F94" s="51"/>
      <c r="G94" s="16">
        <f>SUM(G80:G93)</f>
        <v>3016.7674100000004</v>
      </c>
    </row>
    <row r="95" spans="1:7" x14ac:dyDescent="0.25">
      <c r="A95" s="52" t="s">
        <v>81</v>
      </c>
      <c r="B95" s="53"/>
      <c r="C95" s="53"/>
      <c r="D95" s="53"/>
      <c r="E95" s="53"/>
      <c r="F95" s="53"/>
      <c r="G95" s="54"/>
    </row>
    <row r="96" spans="1:7" ht="31.5" x14ac:dyDescent="0.25">
      <c r="A96" s="17">
        <v>1</v>
      </c>
      <c r="B96" s="43" t="s">
        <v>82</v>
      </c>
      <c r="C96" s="11" t="s">
        <v>9</v>
      </c>
      <c r="D96" s="12" t="s">
        <v>9</v>
      </c>
      <c r="E96" s="13"/>
      <c r="F96" s="25">
        <f>876*5</f>
        <v>4380</v>
      </c>
      <c r="G96" s="26">
        <v>127.02</v>
      </c>
    </row>
    <row r="97" spans="1:7" ht="31.5" x14ac:dyDescent="0.25">
      <c r="A97" s="32">
        <v>2</v>
      </c>
      <c r="B97" s="45" t="s">
        <v>83</v>
      </c>
      <c r="C97" s="18"/>
      <c r="D97" s="30" t="s">
        <v>11</v>
      </c>
      <c r="E97" s="20" t="s">
        <v>12</v>
      </c>
      <c r="F97" s="21">
        <f>502*5</f>
        <v>2510</v>
      </c>
      <c r="G97" s="26">
        <v>288.12</v>
      </c>
    </row>
    <row r="98" spans="1:7" ht="16.5" customHeight="1" thickBot="1" x14ac:dyDescent="0.3">
      <c r="A98" s="49" t="s">
        <v>14</v>
      </c>
      <c r="B98" s="50"/>
      <c r="C98" s="50"/>
      <c r="D98" s="50"/>
      <c r="E98" s="50"/>
      <c r="F98" s="51"/>
      <c r="G98" s="16">
        <f>SUM(G96:G97)</f>
        <v>415.14</v>
      </c>
    </row>
    <row r="99" spans="1:7" ht="16.5" customHeight="1" thickBot="1" x14ac:dyDescent="0.3">
      <c r="A99" s="55" t="s">
        <v>84</v>
      </c>
      <c r="B99" s="56"/>
      <c r="C99" s="56"/>
      <c r="D99" s="56"/>
      <c r="E99" s="56"/>
      <c r="F99" s="57"/>
      <c r="G99" s="33">
        <f>G11+G20+G27+G33+G37+G46+G52+G59+G63+G69+G73+G78+G94+G98</f>
        <v>11039.45822</v>
      </c>
    </row>
    <row r="100" spans="1:7" x14ac:dyDescent="0.25">
      <c r="A100" s="52" t="s">
        <v>85</v>
      </c>
      <c r="B100" s="53"/>
      <c r="C100" s="53"/>
      <c r="D100" s="53"/>
      <c r="E100" s="53"/>
      <c r="F100" s="53"/>
      <c r="G100" s="54"/>
    </row>
    <row r="101" spans="1:7" x14ac:dyDescent="0.25">
      <c r="A101" s="32">
        <v>1</v>
      </c>
      <c r="B101" s="45" t="s">
        <v>86</v>
      </c>
      <c r="C101" s="58" t="s">
        <v>87</v>
      </c>
      <c r="D101" s="59"/>
      <c r="E101" s="60"/>
      <c r="F101" s="58" t="s">
        <v>87</v>
      </c>
      <c r="G101" s="67"/>
    </row>
    <row r="102" spans="1:7" x14ac:dyDescent="0.25">
      <c r="A102" s="32">
        <v>2</v>
      </c>
      <c r="B102" s="45" t="s">
        <v>88</v>
      </c>
      <c r="C102" s="61"/>
      <c r="D102" s="62"/>
      <c r="E102" s="63"/>
      <c r="F102" s="61"/>
      <c r="G102" s="68"/>
    </row>
    <row r="103" spans="1:7" ht="31.5" x14ac:dyDescent="0.25">
      <c r="A103" s="32">
        <v>3</v>
      </c>
      <c r="B103" s="45" t="s">
        <v>89</v>
      </c>
      <c r="C103" s="61"/>
      <c r="D103" s="62"/>
      <c r="E103" s="63"/>
      <c r="F103" s="61"/>
      <c r="G103" s="68"/>
    </row>
    <row r="104" spans="1:7" ht="16.5" thickBot="1" x14ac:dyDescent="0.3">
      <c r="A104" s="32">
        <v>4</v>
      </c>
      <c r="B104" s="45" t="s">
        <v>90</v>
      </c>
      <c r="C104" s="64"/>
      <c r="D104" s="65"/>
      <c r="E104" s="66"/>
      <c r="F104" s="64"/>
      <c r="G104" s="69"/>
    </row>
    <row r="105" spans="1:7" ht="16.5" customHeight="1" thickBot="1" x14ac:dyDescent="0.3">
      <c r="A105" s="46" t="s">
        <v>97</v>
      </c>
      <c r="B105" s="47"/>
      <c r="C105" s="47"/>
      <c r="D105" s="47"/>
      <c r="E105" s="47"/>
      <c r="F105" s="48"/>
      <c r="G105" s="34">
        <f>G99</f>
        <v>11039.45822</v>
      </c>
    </row>
    <row r="106" spans="1:7" ht="16.5" thickTop="1" x14ac:dyDescent="0.25"/>
    <row r="108" spans="1:7" x14ac:dyDescent="0.25">
      <c r="C108" s="35"/>
      <c r="D108" s="35"/>
      <c r="E108" s="35"/>
      <c r="F108" s="35"/>
      <c r="G108" s="35"/>
    </row>
  </sheetData>
  <mergeCells count="39">
    <mergeCell ref="A7:G7"/>
    <mergeCell ref="E4:G4"/>
    <mergeCell ref="D1:G1"/>
    <mergeCell ref="D2:G2"/>
    <mergeCell ref="D3:G3"/>
    <mergeCell ref="C4:D4"/>
    <mergeCell ref="A5:G5"/>
    <mergeCell ref="A47:G47"/>
    <mergeCell ref="A11:F11"/>
    <mergeCell ref="A12:G12"/>
    <mergeCell ref="A20:F20"/>
    <mergeCell ref="A21:G21"/>
    <mergeCell ref="A27:F27"/>
    <mergeCell ref="A28:G28"/>
    <mergeCell ref="A33:F33"/>
    <mergeCell ref="A34:G34"/>
    <mergeCell ref="A37:F37"/>
    <mergeCell ref="A38:G38"/>
    <mergeCell ref="A46:F46"/>
    <mergeCell ref="A79:G79"/>
    <mergeCell ref="A52:F52"/>
    <mergeCell ref="A53:G53"/>
    <mergeCell ref="A59:F59"/>
    <mergeCell ref="A60:G60"/>
    <mergeCell ref="A63:F63"/>
    <mergeCell ref="A64:G64"/>
    <mergeCell ref="A69:F69"/>
    <mergeCell ref="A70:G70"/>
    <mergeCell ref="A73:F73"/>
    <mergeCell ref="A74:G74"/>
    <mergeCell ref="A78:F78"/>
    <mergeCell ref="A105:F105"/>
    <mergeCell ref="A94:F94"/>
    <mergeCell ref="A95:G95"/>
    <mergeCell ref="A98:F98"/>
    <mergeCell ref="A99:F99"/>
    <mergeCell ref="A100:G100"/>
    <mergeCell ref="C101:E104"/>
    <mergeCell ref="F101:G104"/>
  </mergeCells>
  <printOptions horizontalCentered="1"/>
  <pageMargins left="0" right="0" top="0" bottom="0" header="0.31496062992125984" footer="0.31496062992125984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Inga Kanapeckienė</cp:lastModifiedBy>
  <cp:lastPrinted>2023-02-09T09:11:35Z</cp:lastPrinted>
  <dcterms:created xsi:type="dcterms:W3CDTF">2023-02-07T08:51:56Z</dcterms:created>
  <dcterms:modified xsi:type="dcterms:W3CDTF">2023-02-24T13:35:19Z</dcterms:modified>
</cp:coreProperties>
</file>